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erenbond-my.sharepoint.com/personal/elke_aeyels_boerenbond_be/Documents/Bureaublad/Projecten/"/>
    </mc:Choice>
  </mc:AlternateContent>
  <xr:revisionPtr revIDLastSave="0" documentId="8_{0568C727-03A4-424F-95F2-E2D1A17652AF}" xr6:coauthVersionLast="47" xr6:coauthVersionMax="47" xr10:uidLastSave="{00000000-0000-0000-0000-000000000000}"/>
  <bookViews>
    <workbookView xWindow="-120" yWindow="-120" windowWidth="29040" windowHeight="15720" xr2:uid="{C84E397D-74B4-4C45-BBD2-CC0AEADD4086}"/>
  </bookViews>
  <sheets>
    <sheet name="INFO_Lees mij eerst" sheetId="3" r:id="rId1"/>
    <sheet name="bereken bio" sheetId="4" r:id="rId2"/>
    <sheet name="bereken gangbaar" sheetId="5" r:id="rId3"/>
    <sheet name="vb bio 600" sheetId="1" r:id="rId4"/>
    <sheet name="vb gangbaar 1000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8" i="5" l="1"/>
  <c r="C107" i="5"/>
  <c r="C105" i="5"/>
  <c r="C104" i="5"/>
  <c r="C103" i="5"/>
  <c r="C102" i="5"/>
  <c r="K98" i="5"/>
  <c r="G98" i="5"/>
  <c r="G69" i="5"/>
  <c r="G68" i="5"/>
  <c r="G70" i="5" s="1"/>
  <c r="G62" i="5"/>
  <c r="C106" i="5" s="1"/>
  <c r="G44" i="5"/>
  <c r="G65" i="5" s="1"/>
  <c r="G74" i="5" s="1"/>
  <c r="G39" i="5"/>
  <c r="C107" i="4"/>
  <c r="C105" i="4"/>
  <c r="C104" i="4"/>
  <c r="C103" i="4"/>
  <c r="C102" i="4"/>
  <c r="K98" i="4"/>
  <c r="G98" i="4"/>
  <c r="G69" i="4"/>
  <c r="G68" i="4"/>
  <c r="G70" i="4" s="1"/>
  <c r="G62" i="4"/>
  <c r="C106" i="4" s="1"/>
  <c r="G44" i="4"/>
  <c r="G65" i="4" s="1"/>
  <c r="G74" i="4" s="1"/>
  <c r="G75" i="4" s="1"/>
  <c r="G39" i="4"/>
  <c r="C108" i="4" s="1"/>
  <c r="G39" i="1"/>
  <c r="G64" i="5" l="1"/>
  <c r="G72" i="5" s="1"/>
  <c r="G75" i="5"/>
  <c r="G76" i="5"/>
  <c r="G73" i="5"/>
  <c r="C110" i="5"/>
  <c r="C110" i="4"/>
  <c r="C111" i="4" s="1"/>
  <c r="G64" i="4"/>
  <c r="J88" i="2"/>
  <c r="G39" i="2"/>
  <c r="G66" i="5" l="1"/>
  <c r="G87" i="5"/>
  <c r="J87" i="5" s="1"/>
  <c r="G86" i="5"/>
  <c r="J86" i="5" s="1"/>
  <c r="G85" i="5"/>
  <c r="J85" i="5" s="1"/>
  <c r="G84" i="5"/>
  <c r="J84" i="5" s="1"/>
  <c r="C111" i="5"/>
  <c r="G81" i="5"/>
  <c r="G82" i="5" s="1"/>
  <c r="J83" i="5" s="1"/>
  <c r="C112" i="5"/>
  <c r="C114" i="5" s="1"/>
  <c r="C116" i="5" s="1"/>
  <c r="J88" i="5"/>
  <c r="G77" i="5"/>
  <c r="K76" i="5"/>
  <c r="G66" i="4"/>
  <c r="G72" i="4"/>
  <c r="G76" i="4" l="1"/>
  <c r="G73" i="4"/>
  <c r="G62" i="2"/>
  <c r="C106" i="2"/>
  <c r="G62" i="1"/>
  <c r="C107" i="2"/>
  <c r="C105" i="2"/>
  <c r="C104" i="2"/>
  <c r="C103" i="2"/>
  <c r="C102" i="2"/>
  <c r="K98" i="2"/>
  <c r="G98" i="2"/>
  <c r="G69" i="2"/>
  <c r="G68" i="2"/>
  <c r="G70" i="2" s="1"/>
  <c r="G44" i="2"/>
  <c r="G65" i="2" s="1"/>
  <c r="G74" i="2" s="1"/>
  <c r="G75" i="2" s="1"/>
  <c r="C108" i="2"/>
  <c r="G81" i="4" l="1"/>
  <c r="G82" i="4" s="1"/>
  <c r="J83" i="4" s="1"/>
  <c r="C112" i="4"/>
  <c r="C114" i="4" s="1"/>
  <c r="C116" i="4" s="1"/>
  <c r="J88" i="4"/>
  <c r="G77" i="4"/>
  <c r="K76" i="4"/>
  <c r="G87" i="4"/>
  <c r="J87" i="4" s="1"/>
  <c r="G86" i="4"/>
  <c r="J86" i="4" s="1"/>
  <c r="G85" i="4"/>
  <c r="J85" i="4" s="1"/>
  <c r="G84" i="4"/>
  <c r="J84" i="4" s="1"/>
  <c r="C110" i="2"/>
  <c r="C111" i="2" s="1"/>
  <c r="G64" i="2"/>
  <c r="G72" i="2" l="1"/>
  <c r="G66" i="2"/>
  <c r="G73" i="2" l="1"/>
  <c r="G76" i="2"/>
  <c r="G87" i="2"/>
  <c r="J87" i="2" s="1"/>
  <c r="G86" i="2"/>
  <c r="J86" i="2" s="1"/>
  <c r="G85" i="2"/>
  <c r="J85" i="2" s="1"/>
  <c r="G84" i="2"/>
  <c r="J84" i="2" s="1"/>
  <c r="G81" i="2" l="1"/>
  <c r="G82" i="2" s="1"/>
  <c r="J83" i="2" s="1"/>
  <c r="G77" i="2"/>
  <c r="K76" i="2"/>
  <c r="C112" i="2"/>
  <c r="C114" i="2" s="1"/>
  <c r="C116" i="2" s="1"/>
  <c r="C102" i="1" l="1"/>
  <c r="C103" i="1"/>
  <c r="C104" i="1"/>
  <c r="C105" i="1"/>
  <c r="C106" i="1"/>
  <c r="C107" i="1"/>
  <c r="C108" i="1"/>
  <c r="G44" i="1"/>
  <c r="G64" i="1" s="1"/>
  <c r="G69" i="1"/>
  <c r="G68" i="1"/>
  <c r="G98" i="1"/>
  <c r="K98" i="1"/>
  <c r="G65" i="1" l="1"/>
  <c r="G66" i="1" s="1"/>
  <c r="G70" i="1"/>
  <c r="C110" i="1"/>
  <c r="C111" i="1" s="1"/>
  <c r="G72" i="1"/>
  <c r="G73" i="1" l="1"/>
  <c r="G74" i="1"/>
  <c r="G75" i="1" s="1"/>
  <c r="G76" i="1" l="1"/>
  <c r="K76" i="1" s="1"/>
  <c r="C112" i="1" l="1"/>
  <c r="C114" i="1" s="1"/>
  <c r="C116" i="1" s="1"/>
  <c r="G77" i="1"/>
  <c r="G81" i="1"/>
  <c r="G82" i="1" s="1"/>
  <c r="J83" i="1" s="1"/>
  <c r="G85" i="1"/>
  <c r="J85" i="1" s="1"/>
  <c r="G86" i="1"/>
  <c r="J86" i="1" s="1"/>
  <c r="G87" i="1"/>
  <c r="J87" i="1" s="1"/>
  <c r="G84" i="1"/>
  <c r="J84" i="1" s="1"/>
  <c r="J88" i="1"/>
</calcChain>
</file>

<file path=xl/sharedStrings.xml><?xml version="1.0" encoding="utf-8"?>
<sst xmlns="http://schemas.openxmlformats.org/spreadsheetml/2006/main" count="651" uniqueCount="157">
  <si>
    <t>Prijs zeoliet als voer</t>
  </si>
  <si>
    <t>Prijs zeoliet als stalstrooisel</t>
  </si>
  <si>
    <t>Melkgeiten</t>
  </si>
  <si>
    <t>Jongvee</t>
  </si>
  <si>
    <t>Omgerekende grote geit equivalenten (GGE)</t>
  </si>
  <si>
    <t>gram per GGE per dag</t>
  </si>
  <si>
    <t>euro per ton</t>
  </si>
  <si>
    <t>Volwassen bokken</t>
  </si>
  <si>
    <t>Gemiddelde veestapel</t>
  </si>
  <si>
    <t>Bedrijf</t>
  </si>
  <si>
    <t>Melkproductie</t>
  </si>
  <si>
    <t>kg per jaar</t>
  </si>
  <si>
    <t>kg per geit per jaar</t>
  </si>
  <si>
    <t>euro per dier</t>
  </si>
  <si>
    <t>Melkproductie bij 7% vet+eiwit</t>
  </si>
  <si>
    <t>Waarde nuchter lam</t>
  </si>
  <si>
    <t>Waarde dekrijp lam</t>
  </si>
  <si>
    <t>Waarde enter</t>
  </si>
  <si>
    <t>Waarde melkgeit</t>
  </si>
  <si>
    <t>kg standaard melk per jaar voor ganse bedrijf</t>
  </si>
  <si>
    <t>Hoeveel dekrijpe lammeren moeten extra gered worden</t>
  </si>
  <si>
    <t>Hoeveel nuchtere lammeren moeten extra gered worden</t>
  </si>
  <si>
    <t>Hoeveel enters moeten extra gered worden</t>
  </si>
  <si>
    <t>Hoeveel melkgeiten moeten extra gered worden</t>
  </si>
  <si>
    <t>Hoeveel kg melk moet er extra geproduceerd worden</t>
  </si>
  <si>
    <t>Om alle zeolietgrondstofkosten te dragen:</t>
  </si>
  <si>
    <t xml:space="preserve">maakt </t>
  </si>
  <si>
    <t xml:space="preserve">stuks, </t>
  </si>
  <si>
    <t>Teeltplan</t>
  </si>
  <si>
    <t>Grasklaver</t>
  </si>
  <si>
    <t>ha</t>
  </si>
  <si>
    <t>Gemiddelde opbrengst</t>
  </si>
  <si>
    <t>kg ds per ha grasklaver</t>
  </si>
  <si>
    <t>….</t>
  </si>
  <si>
    <t>…..........</t>
  </si>
  <si>
    <t>Voederwaardeprijs</t>
  </si>
  <si>
    <t>euro per ton ds grasklaver</t>
  </si>
  <si>
    <t>euro per ton veldboon</t>
  </si>
  <si>
    <t>euro per ton …......</t>
  </si>
  <si>
    <t xml:space="preserve">Hoeveel % extra opbrengst op het land </t>
  </si>
  <si>
    <t>Totale voederwaardeproductie met eigen teeltplan</t>
  </si>
  <si>
    <t>euro voederwaarde op totale teeltplan</t>
  </si>
  <si>
    <t>% minder uitval bij dekrijpe lammeren zouden hebben</t>
  </si>
  <si>
    <t>% minder uitval bij melkgeiten zouden hebben</t>
  </si>
  <si>
    <t>% meer melk per geit per jaar zouden hebben</t>
  </si>
  <si>
    <t xml:space="preserve">% hoger vetgehalte </t>
  </si>
  <si>
    <t xml:space="preserve">dit zou </t>
  </si>
  <si>
    <t>% vetgehalte</t>
  </si>
  <si>
    <t xml:space="preserve">% vet betekenen ipv het opgegeven </t>
  </si>
  <si>
    <t>% meer voederwaardeopbrengst van het teeltplan</t>
  </si>
  <si>
    <t xml:space="preserve">Indien we </t>
  </si>
  <si>
    <t>Hebben we</t>
  </si>
  <si>
    <t>euro voordeel vanuit de dekrijpe lammerenuitvalvermijding</t>
  </si>
  <si>
    <t>euro voordeel vanuit de enter uitvalvermijding</t>
  </si>
  <si>
    <t>euro voordeel vanuit de de extra melk</t>
  </si>
  <si>
    <t>euro voordeel vanuit de hogere teeltopbrensten</t>
  </si>
  <si>
    <t>euro voordeel vanuit de nuchtere lammerenuitvalvermijding</t>
  </si>
  <si>
    <t>% minder nuchtere lammeruitval zouden hebben</t>
  </si>
  <si>
    <t>euro voordeel vanuit de melkgeitenuitvalvermijding</t>
  </si>
  <si>
    <t>% minder uitval bij enters zouden hebben</t>
  </si>
  <si>
    <t>en dan komt het verder te onderzoeken stikstofeffect er nog bovenop</t>
  </si>
  <si>
    <t>Bedrijfseconomische berekeningen Zeogoat</t>
  </si>
  <si>
    <t>euro voordeel vanuit het betere vetgehalte</t>
  </si>
  <si>
    <t>Hooi</t>
  </si>
  <si>
    <t>Tarwe veldboon</t>
  </si>
  <si>
    <t>kg ds per ha hooi</t>
  </si>
  <si>
    <t>kg tarwe veldboon per ha</t>
  </si>
  <si>
    <t xml:space="preserve">% uitvaldaling van deze diercategorie zou nodig zijn </t>
  </si>
  <si>
    <t>Let op: enkel vetgedrukte zaken kunnen zelf aangepast worden</t>
  </si>
  <si>
    <r>
      <t>de</t>
    </r>
    <r>
      <rPr>
        <sz val="12"/>
        <color rgb="FFFF0000"/>
        <rFont val="Calibri (Hoofdtekst)"/>
      </rPr>
      <t xml:space="preserve"> rode</t>
    </r>
    <r>
      <rPr>
        <sz val="12"/>
        <color theme="1"/>
        <rFont val="Calibri"/>
        <family val="2"/>
        <scheme val="minor"/>
      </rPr>
      <t xml:space="preserve"> en </t>
    </r>
    <r>
      <rPr>
        <sz val="12"/>
        <color rgb="FF00B050"/>
        <rFont val="Calibri (Hoofdtekst)"/>
      </rPr>
      <t>groene</t>
    </r>
    <r>
      <rPr>
        <sz val="12"/>
        <color theme="1"/>
        <rFont val="Calibri"/>
        <family val="2"/>
        <scheme val="minor"/>
      </rPr>
      <t xml:space="preserve"> cijfers zijn berekende waarden</t>
    </r>
  </si>
  <si>
    <t>euro per ton ds hooi</t>
  </si>
  <si>
    <t>euro netto voordeel bij voorgaande realistische veronderstelling</t>
  </si>
  <si>
    <t>% extra gewasopbrengst zou nodig zijn</t>
  </si>
  <si>
    <t xml:space="preserve"> % tov weergegeven melkproductie</t>
  </si>
  <si>
    <t xml:space="preserve">is er nodig om alle zeolietgrondstofkosten te dragen. </t>
  </si>
  <si>
    <t>Even diverse realistische cumulatieve veronderstellingen:</t>
  </si>
  <si>
    <t>(Voorgaande veronderstellingen zijn cumulatief! Dus op te tellen)</t>
  </si>
  <si>
    <t>euro per 100 kg melk bij 7% vet en eiwit (bio)</t>
  </si>
  <si>
    <r>
      <t xml:space="preserve">Deze voorgaande getallen en procenten zijn </t>
    </r>
    <r>
      <rPr>
        <u/>
        <sz val="12"/>
        <color theme="1"/>
        <rFont val="Calibri"/>
        <family val="2"/>
        <scheme val="minor"/>
      </rPr>
      <t>niet cumulatief</t>
    </r>
    <r>
      <rPr>
        <sz val="12"/>
        <color theme="1"/>
        <rFont val="Calibri"/>
        <family val="2"/>
        <scheme val="minor"/>
      </rPr>
      <t>. Het is of het ene of het andere.</t>
    </r>
  </si>
  <si>
    <t>Arbeid voederadditief</t>
  </si>
  <si>
    <t>Arbeid strooiseladditief</t>
  </si>
  <si>
    <t>euro per uur</t>
  </si>
  <si>
    <t>uur per dag</t>
  </si>
  <si>
    <t>uur per week</t>
  </si>
  <si>
    <t>euro per jaar voor arbeid voederadditief</t>
  </si>
  <si>
    <t>euro per jaar voor zeoliet als strooiseladditief</t>
  </si>
  <si>
    <t>Kostprijs arbeid zeoliet toedienen</t>
  </si>
  <si>
    <t>euro per jaar voor arbeid strooiseladditief</t>
  </si>
  <si>
    <t>euro per jaar totaal arbeid</t>
  </si>
  <si>
    <t>euro per jaar totaal aankoop zeoliet</t>
  </si>
  <si>
    <t>Kostprijs zeoliet totaal (aankoop product + arbeid)</t>
  </si>
  <si>
    <t>euro per jaar voor zeoliet als voederadditief</t>
  </si>
  <si>
    <t>euro per jaar totaal</t>
  </si>
  <si>
    <t>Kostprijs aankoop zeoliet (product)</t>
  </si>
  <si>
    <t>euro kosten voor zeoliet (aankoop product + arbeid)</t>
  </si>
  <si>
    <t>Voerdosis zeoliet</t>
  </si>
  <si>
    <t>Strooiseldosis zeoliet</t>
  </si>
  <si>
    <t>Vergoeding voor eigen arbeid</t>
  </si>
  <si>
    <t>euro per jaar per 100 kg standaard melk voor zeoliet als voederadditief</t>
  </si>
  <si>
    <t>euro per jaar per 100 kg standaard melk voor zeoliet als strooiseladditief</t>
  </si>
  <si>
    <t>euro per jaar per 100 kg standaard melk voor zeoliet als voeder- en strooiseladditief</t>
  </si>
  <si>
    <t>euro voordeel totaal op bedrijfsniveau</t>
  </si>
  <si>
    <t>euro voordeel totaal per 100 kg standaard melk</t>
  </si>
  <si>
    <t>euro netto voordeel per 100 kg standaard melk</t>
  </si>
  <si>
    <t>% vet</t>
  </si>
  <si>
    <t>% eiwit</t>
  </si>
  <si>
    <r>
      <t>Melkprijs bij 7% vet en eiwit (</t>
    </r>
    <r>
      <rPr>
        <sz val="12"/>
        <color rgb="FFFF0000"/>
        <rFont val="Calibri"/>
        <family val="2"/>
        <scheme val="minor"/>
      </rPr>
      <t>bio</t>
    </r>
    <r>
      <rPr>
        <sz val="12"/>
        <color theme="1"/>
        <rFont val="Calibri"/>
        <family val="2"/>
        <scheme val="minor"/>
      </rPr>
      <t>)</t>
    </r>
  </si>
  <si>
    <t>euro per 100 kg melk bij 7,5% vet en eiwit (gangbaar)</t>
  </si>
  <si>
    <t>(vul zelf aan met de teelten die je hierboven extra hebt ingevuld)</t>
  </si>
  <si>
    <t>% van de omzet</t>
  </si>
  <si>
    <t>kg gerst per ha</t>
  </si>
  <si>
    <t>euro per ton gerst</t>
  </si>
  <si>
    <r>
      <t xml:space="preserve">- de samenstelling van </t>
    </r>
    <r>
      <rPr>
        <b/>
        <sz val="12"/>
        <color theme="1"/>
        <rFont val="Calibri"/>
        <family val="2"/>
        <scheme val="minor"/>
      </rPr>
      <t>de veestapel</t>
    </r>
    <r>
      <rPr>
        <sz val="12"/>
        <color theme="1"/>
        <rFont val="Calibri"/>
        <family val="2"/>
        <scheme val="minor"/>
      </rPr>
      <t xml:space="preserve"> (gemiddeld): aantal melkgeiten, aantal volwassen bokken, aantal jongvee</t>
    </r>
  </si>
  <si>
    <r>
      <t xml:space="preserve">- de </t>
    </r>
    <r>
      <rPr>
        <b/>
        <sz val="12"/>
        <color theme="1"/>
        <rFont val="Calibri"/>
        <family val="2"/>
        <scheme val="minor"/>
      </rPr>
      <t>melkproductie</t>
    </r>
    <r>
      <rPr>
        <sz val="12"/>
        <color theme="1"/>
        <rFont val="Calibri"/>
        <family val="2"/>
        <scheme val="minor"/>
      </rPr>
      <t>: kg melk per geit per jaar, gemiddelde vetpercentage, gemiddelde eiwitpercentage</t>
    </r>
  </si>
  <si>
    <r>
      <t xml:space="preserve">- de </t>
    </r>
    <r>
      <rPr>
        <b/>
        <sz val="12"/>
        <color theme="1"/>
        <rFont val="Calibri"/>
        <family val="2"/>
        <scheme val="minor"/>
      </rPr>
      <t>waarde van de dieren</t>
    </r>
    <r>
      <rPr>
        <sz val="12"/>
        <color theme="1"/>
        <rFont val="Calibri"/>
        <family val="2"/>
        <scheme val="minor"/>
      </rPr>
      <t xml:space="preserve"> in euro: van een nuchter lam, dekrijp lam, enter en melkgeit. </t>
    </r>
  </si>
  <si>
    <t>Welke gegevens heb je nodig?</t>
  </si>
  <si>
    <r>
      <t xml:space="preserve">- de </t>
    </r>
    <r>
      <rPr>
        <b/>
        <sz val="12"/>
        <color theme="1"/>
        <rFont val="Calibri"/>
        <family val="2"/>
        <scheme val="minor"/>
      </rPr>
      <t>eigen teelten in het teeltplan</t>
    </r>
    <r>
      <rPr>
        <sz val="12"/>
        <color theme="1"/>
        <rFont val="Calibri"/>
        <family val="2"/>
        <scheme val="minor"/>
      </rPr>
      <t xml:space="preserve"> (aantal hectare per teelt en gemiddelde opbrengst per teelt (ton (droge stof)(ds) per hectare)</t>
    </r>
  </si>
  <si>
    <t xml:space="preserve">Dit is een samenwerkingsverband tussen Boerenbond, ILVO-Dier, adviesbureau Govaerts &amp; Co, melkgeitenbedrijven ’t Reigershof, Van Waes, Rodemoerhoeve en Van Lierop-Laureys,  </t>
  </si>
  <si>
    <t xml:space="preserve">het biobedrijfsnetwerk geiten ondersteund door Bioforum, de werkgroep geiten van Boerenbond, en de studieclub van professionele geitenhouders. </t>
  </si>
  <si>
    <t>Dit project kon op financiële steun van Europa en Vlaanderen rekenen.</t>
  </si>
  <si>
    <t>Beste melkgeitenhouder,</t>
  </si>
  <si>
    <t>Deze rekenmodule heeft tot doel je een idee te geven van de bedrijfseconomische effecten van het gebruik van zeoliet, zowel als voederadditief als strooiseladditief.</t>
  </si>
  <si>
    <t>De rekenmodule werd ontwikkeld door adviesbureau Govaerts &amp; Co op basis van praktijkervaringen van Vlaamse melkgeitenhouders en waar mogelijk wetenschappelijke literatuur.</t>
  </si>
  <si>
    <t>De rekenmodule is een resultaat van de operationele groep ZeoGoat 'Gangbare en biologische geitenhouders samen op zoek naar het potentieel van zeoliet voor ammoniakreductie'.</t>
  </si>
  <si>
    <r>
      <t xml:space="preserve">- de </t>
    </r>
    <r>
      <rPr>
        <b/>
        <sz val="12"/>
        <color theme="1"/>
        <rFont val="Calibri"/>
        <family val="2"/>
        <scheme val="minor"/>
      </rPr>
      <t>melkprijs</t>
    </r>
    <r>
      <rPr>
        <sz val="12"/>
        <color theme="1"/>
        <rFont val="Calibri"/>
        <family val="2"/>
        <scheme val="minor"/>
      </rPr>
      <t xml:space="preserve"> (gemiddeld over het jaar of van een bepaalde periode, aan 7% vet + eiwit voor biologische melk en 7,5% vet + eiwit voor gangbare melk)</t>
    </r>
  </si>
  <si>
    <t>Waar vul je de gegevens in?</t>
  </si>
  <si>
    <t xml:space="preserve">Naast potentiële positieve effecten op ammoniakuitstoot zijn er ook positieve effecten op diergezondheid, dierenwelzijn en productiviteit te verwachten. </t>
  </si>
  <si>
    <t>De rekenmodule houdt hier rekening mee.</t>
  </si>
  <si>
    <t>Door de rekenmodule in te vullen met een beperkt aantal cijfers van je bedrijfsvoering (zie verder), kan je specifiek voor jouw bedrijf het gebruik van zeoliet bedrijfseconomisch doorrekenen.</t>
  </si>
  <si>
    <t>AAN DE SLAG</t>
  </si>
  <si>
    <t>De aparte tabbladen voor bio en gangbaar houden hier rekening mee.</t>
  </si>
  <si>
    <t>Waar vind ik de resultaten?</t>
  </si>
  <si>
    <t>Vragen?</t>
  </si>
  <si>
    <t>Mail naar jan@wimgovaertsenco.be of wim@wimgovaertsenco.be</t>
  </si>
  <si>
    <r>
      <t xml:space="preserve">De </t>
    </r>
    <r>
      <rPr>
        <sz val="12"/>
        <color rgb="FFFF0000"/>
        <rFont val="Calibri"/>
        <family val="2"/>
        <scheme val="minor"/>
      </rPr>
      <t>rode cijfers</t>
    </r>
    <r>
      <rPr>
        <sz val="12"/>
        <color theme="1"/>
        <rFont val="Calibri"/>
        <family val="2"/>
        <scheme val="minor"/>
      </rPr>
      <t xml:space="preserve"> op de tabbladen zijn automatische berekeningen op basis van de gegevens die je invult in de blauw gearceerde vakken.</t>
    </r>
  </si>
  <si>
    <r>
      <t xml:space="preserve">Helemaal onderaan vind je in </t>
    </r>
    <r>
      <rPr>
        <sz val="12"/>
        <color rgb="FF00B050"/>
        <rFont val="Calibri"/>
        <family val="2"/>
        <scheme val="minor"/>
      </rPr>
      <t>groene cijfers</t>
    </r>
    <r>
      <rPr>
        <sz val="12"/>
        <color theme="1"/>
        <rFont val="Calibri"/>
        <family val="2"/>
        <scheme val="minor"/>
      </rPr>
      <t xml:space="preserve"> de resultaten voor jouw bedrijfsvoering.</t>
    </r>
  </si>
  <si>
    <t>Gerst</t>
  </si>
  <si>
    <t>Luzerne</t>
  </si>
  <si>
    <t>kg ds per ha luzerne</t>
  </si>
  <si>
    <t>euro per ton luzerne</t>
  </si>
  <si>
    <t>Belangrijke opmerking: biologische melkgeitenhouders vullen het tabblad 'bereken bio' in en gangbare melkgeitenhouders vullen het tabblad 'bereken gangbaar' in.</t>
  </si>
  <si>
    <t>Je vult je gegevens in in de blauw gearceerde vakken op het juiste tabblad ('bereken bio' voor biologische geitenhouders, 'bereken gangbaar' voor gangbare geitenhouders)</t>
  </si>
  <si>
    <t xml:space="preserve">Ter referentie vind je in het tabblad 'vb bio 600' een fictief voorbeeld van een biologisch bedrijf met 600 melkgeiten. </t>
  </si>
  <si>
    <t>In het tabblad 'vb gangbaar 1000' staat een fictief voorbeeld van een gangbaar bedrijf met 1000 melkgeiten.</t>
  </si>
  <si>
    <t>Melkprijs bij 7,5% vet en eiwit</t>
  </si>
  <si>
    <t>kg extra standaardmelk per geit per jaar</t>
  </si>
  <si>
    <t>(vul zelf aan met eventuele bijkomende teelten in het teeltplan)</t>
  </si>
  <si>
    <t>Prijs zeoliet als voederadditief</t>
  </si>
  <si>
    <t>Prijs zeoliet als strooiseladditief</t>
  </si>
  <si>
    <t>euro per ton tarwe veldboon</t>
  </si>
  <si>
    <t>euro per ton ds luzerne</t>
  </si>
  <si>
    <t>De reden hiervoor is dat er bij de biomelk gerekend wordt aan 7% vet- en eiwitgehalte, en bij de gangbare melk aan 7,5% vet- en eiwitgehalte, en dat er andere voederwaardeprijzen gelden.</t>
  </si>
  <si>
    <t>gangbaar</t>
  </si>
  <si>
    <t>bio</t>
  </si>
  <si>
    <t>vb bio 600 melkgeiten</t>
  </si>
  <si>
    <t>vb gangbaar 1000 melkgeiten</t>
  </si>
  <si>
    <t>Melkproductie bij 7,5% vet+eiwit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</si>
</sst>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_);\(#,##0.00\)"/>
  </numFmts>
  <fonts count="1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FF0000"/>
      <name val="Calibri (Hoofdtekst)"/>
    </font>
    <font>
      <sz val="12"/>
      <color rgb="FF00B050"/>
      <name val="Calibri (Hoofdtekst)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ptos"/>
      <family val="2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44" fontId="1" fillId="0" borderId="0" xfId="1" applyFont="1" applyFill="1"/>
    <xf numFmtId="44" fontId="4" fillId="0" borderId="0" xfId="1" applyFont="1" applyFill="1"/>
    <xf numFmtId="0" fontId="3" fillId="0" borderId="0" xfId="0" applyFont="1"/>
    <xf numFmtId="44" fontId="2" fillId="0" borderId="0" xfId="1" applyFont="1" applyFill="1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0" fontId="4" fillId="0" borderId="0" xfId="0" applyFont="1"/>
    <xf numFmtId="2" fontId="4" fillId="0" borderId="0" xfId="0" applyNumberFormat="1" applyFont="1"/>
    <xf numFmtId="0" fontId="0" fillId="2" borderId="0" xfId="0" applyFill="1"/>
    <xf numFmtId="0" fontId="2" fillId="2" borderId="0" xfId="0" applyFont="1" applyFill="1"/>
    <xf numFmtId="44" fontId="2" fillId="2" borderId="0" xfId="1" applyFont="1" applyFill="1"/>
    <xf numFmtId="0" fontId="0" fillId="0" borderId="0" xfId="0" quotePrefix="1"/>
    <xf numFmtId="0" fontId="9" fillId="0" borderId="0" xfId="0" applyFont="1" applyAlignment="1">
      <alignment vertical="center"/>
    </xf>
    <xf numFmtId="0" fontId="10" fillId="3" borderId="0" xfId="0" applyFont="1" applyFill="1"/>
    <xf numFmtId="0" fontId="0" fillId="3" borderId="0" xfId="0" applyFill="1"/>
    <xf numFmtId="0" fontId="2" fillId="4" borderId="0" xfId="0" applyFont="1" applyFill="1"/>
    <xf numFmtId="0" fontId="0" fillId="4" borderId="0" xfId="0" applyFill="1"/>
    <xf numFmtId="44" fontId="1" fillId="0" borderId="0" xfId="0" applyNumberFormat="1" applyFont="1"/>
    <xf numFmtId="164" fontId="0" fillId="0" borderId="0" xfId="0" applyNumberForma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371475</xdr:colOff>
      <xdr:row>0</xdr:row>
      <xdr:rowOff>57150</xdr:rowOff>
    </xdr:from>
    <xdr:to>
      <xdr:col>17</xdr:col>
      <xdr:colOff>5053</xdr:colOff>
      <xdr:row>4</xdr:row>
      <xdr:rowOff>75991</xdr:rowOff>
    </xdr:to>
    <xdr:pic>
      <xdr:nvPicPr>
        <xdr:cNvPr id="2" name="Afbeelding 1" descr="Afbeelding met Lettertype, handschrift, kalligrafie, typografie&#10;&#10;Automatisch gegenereerde beschrijving">
          <a:extLst>
            <a:ext uri="{FF2B5EF4-FFF2-40B4-BE49-F238E27FC236}">
              <a16:creationId xmlns:a16="http://schemas.microsoft.com/office/drawing/2014/main" id="{35574159-A35F-449D-9144-E4A9E40A3D5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7875" y="57150"/>
          <a:ext cx="5805778" cy="818941"/>
        </a:xfrm>
        <a:prstGeom prst="rect">
          <a:avLst/>
        </a:prstGeom>
        <a:noFill/>
        <a:ln cap="flat">
          <a:noFill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16</xdr:col>
      <xdr:colOff>435269</xdr:colOff>
      <xdr:row>50</xdr:row>
      <xdr:rowOff>26776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1A21F29-5FFD-9F9C-B61D-784A52736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8801100"/>
          <a:ext cx="10722269" cy="12269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615950</xdr:colOff>
      <xdr:row>0</xdr:row>
      <xdr:rowOff>0</xdr:rowOff>
    </xdr:from>
    <xdr:to>
      <xdr:col>14</xdr:col>
      <xdr:colOff>2415</xdr:colOff>
      <xdr:row>2</xdr:row>
      <xdr:rowOff>148166</xdr:rowOff>
    </xdr:to>
    <xdr:pic>
      <xdr:nvPicPr>
        <xdr:cNvPr id="2" name="Afbeelding 1" descr="Afbeelding met Lettertype, handschrift, kalligrafie, typografie&#10;&#10;Automatisch gegenereerde beschrijving">
          <a:extLst>
            <a:ext uri="{FF2B5EF4-FFF2-40B4-BE49-F238E27FC236}">
              <a16:creationId xmlns:a16="http://schemas.microsoft.com/office/drawing/2014/main" id="{AC867167-40CA-4E12-9000-3E01C83D3DD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6700" y="0"/>
          <a:ext cx="5806315" cy="814916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615950</xdr:colOff>
      <xdr:row>0</xdr:row>
      <xdr:rowOff>0</xdr:rowOff>
    </xdr:from>
    <xdr:to>
      <xdr:col>13</xdr:col>
      <xdr:colOff>109737</xdr:colOff>
      <xdr:row>2</xdr:row>
      <xdr:rowOff>148166</xdr:rowOff>
    </xdr:to>
    <xdr:pic>
      <xdr:nvPicPr>
        <xdr:cNvPr id="2" name="Afbeelding 1" descr="Afbeelding met Lettertype, handschrift, kalligrafie, typografie&#10;&#10;Automatisch gegenereerde beschrijving">
          <a:extLst>
            <a:ext uri="{FF2B5EF4-FFF2-40B4-BE49-F238E27FC236}">
              <a16:creationId xmlns:a16="http://schemas.microsoft.com/office/drawing/2014/main" id="{F18B0416-3143-45E8-BB7D-BE12D92AE9D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59625" y="0"/>
          <a:ext cx="5808862" cy="814916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615950</xdr:colOff>
      <xdr:row>0</xdr:row>
      <xdr:rowOff>0</xdr:rowOff>
    </xdr:from>
    <xdr:to>
      <xdr:col>14</xdr:col>
      <xdr:colOff>2415</xdr:colOff>
      <xdr:row>2</xdr:row>
      <xdr:rowOff>148166</xdr:rowOff>
    </xdr:to>
    <xdr:pic>
      <xdr:nvPicPr>
        <xdr:cNvPr id="2" name="Afbeelding 1" descr="Afbeelding met Lettertype, handschrift, kalligrafie, typografie&#10;&#10;Automatisch gegenereerde beschrijving">
          <a:extLst>
            <a:ext uri="{FF2B5EF4-FFF2-40B4-BE49-F238E27FC236}">
              <a16:creationId xmlns:a16="http://schemas.microsoft.com/office/drawing/2014/main" id="{DEC26B9D-C1F0-384C-8624-8212AEF19AF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94450" y="0"/>
          <a:ext cx="5715000" cy="804333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615950</xdr:colOff>
      <xdr:row>0</xdr:row>
      <xdr:rowOff>0</xdr:rowOff>
    </xdr:from>
    <xdr:to>
      <xdr:col>13</xdr:col>
      <xdr:colOff>109737</xdr:colOff>
      <xdr:row>2</xdr:row>
      <xdr:rowOff>148166</xdr:rowOff>
    </xdr:to>
    <xdr:pic>
      <xdr:nvPicPr>
        <xdr:cNvPr id="2" name="Afbeelding 1" descr="Afbeelding met Lettertype, handschrift, kalligrafie, typografie&#10;&#10;Automatisch gegenereerde beschrijving">
          <a:extLst>
            <a:ext uri="{FF2B5EF4-FFF2-40B4-BE49-F238E27FC236}">
              <a16:creationId xmlns:a16="http://schemas.microsoft.com/office/drawing/2014/main" id="{15E7C8BE-E20E-46F7-84C6-67C0170E220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8600" y="0"/>
          <a:ext cx="5802288" cy="814916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DA76A-5C23-4612-A1E6-9CC824103BA4}">
  <dimension ref="B5:Q43"/>
  <sheetViews>
    <sheetView tabSelected="1" workbookViewId="0">
      <selection activeCell="T33" sqref="T33"/>
    </sheetView>
  </sheetViews>
  <sheetFormatPr defaultRowHeight="15.75"/>
  <sheetData>
    <row r="5" spans="2:2">
      <c r="B5" t="s">
        <v>120</v>
      </c>
    </row>
    <row r="7" spans="2:2">
      <c r="B7" t="s">
        <v>121</v>
      </c>
    </row>
    <row r="8" spans="2:2">
      <c r="B8" t="s">
        <v>126</v>
      </c>
    </row>
    <row r="9" spans="2:2">
      <c r="B9" t="s">
        <v>127</v>
      </c>
    </row>
    <row r="10" spans="2:2">
      <c r="B10" t="s">
        <v>128</v>
      </c>
    </row>
    <row r="12" spans="2:2">
      <c r="B12" t="s">
        <v>122</v>
      </c>
    </row>
    <row r="14" spans="2:2">
      <c r="B14" t="s">
        <v>123</v>
      </c>
    </row>
    <row r="15" spans="2:2">
      <c r="B15" s="15" t="s">
        <v>117</v>
      </c>
    </row>
    <row r="16" spans="2:2">
      <c r="B16" t="s">
        <v>118</v>
      </c>
    </row>
    <row r="17" spans="2:17">
      <c r="B17" t="s">
        <v>119</v>
      </c>
    </row>
    <row r="19" spans="2:17">
      <c r="B19" s="18" t="s">
        <v>129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1" spans="2:17">
      <c r="B21" s="16" t="s">
        <v>140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2:17">
      <c r="B22" s="16" t="s">
        <v>151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2:17">
      <c r="B23" s="16" t="s">
        <v>130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5" spans="2:17">
      <c r="B25" s="18" t="s">
        <v>115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2:17">
      <c r="B26" s="14" t="s">
        <v>116</v>
      </c>
    </row>
    <row r="27" spans="2:17">
      <c r="B27" t="s">
        <v>112</v>
      </c>
    </row>
    <row r="28" spans="2:17">
      <c r="B28" t="s">
        <v>113</v>
      </c>
    </row>
    <row r="29" spans="2:17">
      <c r="B29" s="14" t="s">
        <v>124</v>
      </c>
    </row>
    <row r="30" spans="2:17">
      <c r="B30" t="s">
        <v>114</v>
      </c>
    </row>
    <row r="32" spans="2:17">
      <c r="B32" s="18" t="s">
        <v>125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2:17">
      <c r="B33" s="14" t="s">
        <v>141</v>
      </c>
    </row>
    <row r="35" spans="2:17">
      <c r="B35" s="18" t="s">
        <v>131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2:17">
      <c r="B36" t="s">
        <v>134</v>
      </c>
    </row>
    <row r="37" spans="2:17">
      <c r="B37" t="s">
        <v>135</v>
      </c>
    </row>
    <row r="39" spans="2:17">
      <c r="B39" t="s">
        <v>142</v>
      </c>
    </row>
    <row r="40" spans="2:17">
      <c r="B40" t="s">
        <v>143</v>
      </c>
    </row>
    <row r="42" spans="2:17">
      <c r="B42" s="18" t="s">
        <v>132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2:17">
      <c r="B43" t="s">
        <v>133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7DE2A-18F7-4F5B-A211-D82AF5C8B8AF}">
  <dimension ref="A1:M119"/>
  <sheetViews>
    <sheetView topLeftCell="A99" zoomScale="142" zoomScaleNormal="142" workbookViewId="0">
      <selection activeCell="G73" sqref="G73"/>
    </sheetView>
  </sheetViews>
  <sheetFormatPr defaultColWidth="11" defaultRowHeight="15.75"/>
  <cols>
    <col min="3" max="3" width="12.125" customWidth="1"/>
    <col min="7" max="7" width="13.375" customWidth="1"/>
    <col min="8" max="8" width="18.25" customWidth="1"/>
  </cols>
  <sheetData>
    <row r="1" spans="1:8" ht="26.25">
      <c r="A1" s="4"/>
    </row>
    <row r="2" spans="1:8" ht="26.25">
      <c r="A2" s="4" t="s">
        <v>61</v>
      </c>
    </row>
    <row r="3" spans="1:8" ht="26.25">
      <c r="A3" s="4"/>
    </row>
    <row r="4" spans="1:8" ht="26.25">
      <c r="A4" s="4"/>
    </row>
    <row r="5" spans="1:8" ht="26.25">
      <c r="A5" s="4"/>
      <c r="B5" s="11" t="s">
        <v>9</v>
      </c>
      <c r="C5" s="11"/>
      <c r="D5" s="11"/>
      <c r="E5" s="11"/>
      <c r="F5" s="11"/>
      <c r="G5" s="11" t="s">
        <v>153</v>
      </c>
      <c r="H5" s="11"/>
    </row>
    <row r="8" spans="1:8">
      <c r="B8" t="s">
        <v>0</v>
      </c>
      <c r="G8" s="5">
        <v>420</v>
      </c>
      <c r="H8" t="s">
        <v>6</v>
      </c>
    </row>
    <row r="9" spans="1:8">
      <c r="B9" t="s">
        <v>1</v>
      </c>
      <c r="G9" s="5">
        <v>399</v>
      </c>
      <c r="H9" t="s">
        <v>6</v>
      </c>
    </row>
    <row r="10" spans="1:8">
      <c r="G10" s="1"/>
    </row>
    <row r="11" spans="1:8">
      <c r="B11" s="12" t="s">
        <v>28</v>
      </c>
      <c r="C11" s="11"/>
      <c r="D11" s="11"/>
      <c r="E11" s="11"/>
      <c r="F11" s="11"/>
      <c r="G11" s="12"/>
      <c r="H11" s="11"/>
    </row>
    <row r="12" spans="1:8">
      <c r="B12" s="11" t="s">
        <v>29</v>
      </c>
      <c r="C12" s="11"/>
      <c r="D12" s="11"/>
      <c r="E12" s="11"/>
      <c r="F12" s="11"/>
      <c r="G12" s="12">
        <v>0</v>
      </c>
      <c r="H12" s="11" t="s">
        <v>30</v>
      </c>
    </row>
    <row r="13" spans="1:8">
      <c r="B13" s="11" t="s">
        <v>136</v>
      </c>
      <c r="C13" s="11"/>
      <c r="D13" s="11"/>
      <c r="E13" s="11"/>
      <c r="F13" s="11"/>
      <c r="G13" s="12">
        <v>0</v>
      </c>
      <c r="H13" s="11" t="s">
        <v>30</v>
      </c>
    </row>
    <row r="14" spans="1:8">
      <c r="B14" s="11" t="s">
        <v>63</v>
      </c>
      <c r="C14" s="11"/>
      <c r="D14" s="11"/>
      <c r="E14" s="11"/>
      <c r="F14" s="11"/>
      <c r="G14" s="12">
        <v>0</v>
      </c>
      <c r="H14" s="11" t="s">
        <v>30</v>
      </c>
    </row>
    <row r="15" spans="1:8">
      <c r="B15" s="11" t="s">
        <v>64</v>
      </c>
      <c r="C15" s="11"/>
      <c r="D15" s="11"/>
      <c r="E15" s="11"/>
      <c r="F15" s="11"/>
      <c r="G15" s="12">
        <v>0</v>
      </c>
      <c r="H15" s="11" t="s">
        <v>30</v>
      </c>
    </row>
    <row r="16" spans="1:8">
      <c r="B16" s="11" t="s">
        <v>137</v>
      </c>
      <c r="C16" s="11"/>
      <c r="D16" s="11"/>
      <c r="E16" s="11"/>
      <c r="F16" s="11"/>
      <c r="G16" s="12">
        <v>0</v>
      </c>
      <c r="H16" s="11" t="s">
        <v>30</v>
      </c>
    </row>
    <row r="17" spans="2:13">
      <c r="B17" s="11" t="s">
        <v>33</v>
      </c>
      <c r="C17" s="11"/>
      <c r="D17" s="11"/>
      <c r="E17" s="11"/>
      <c r="F17" s="11"/>
      <c r="G17" s="12">
        <v>0</v>
      </c>
      <c r="H17" s="11" t="s">
        <v>30</v>
      </c>
      <c r="I17" s="11" t="s">
        <v>146</v>
      </c>
      <c r="J17" s="11"/>
      <c r="K17" s="11"/>
      <c r="L17" s="11"/>
      <c r="M17" s="11"/>
    </row>
    <row r="18" spans="2:13">
      <c r="B18" s="11" t="s">
        <v>33</v>
      </c>
      <c r="C18" s="11"/>
      <c r="D18" s="11"/>
      <c r="E18" s="11"/>
      <c r="F18" s="11"/>
      <c r="G18" s="12">
        <v>0</v>
      </c>
      <c r="H18" s="11" t="s">
        <v>30</v>
      </c>
      <c r="I18" s="11" t="s">
        <v>146</v>
      </c>
      <c r="J18" s="11"/>
      <c r="K18" s="11"/>
      <c r="L18" s="11"/>
      <c r="M18" s="11"/>
    </row>
    <row r="19" spans="2:13">
      <c r="B19" s="11" t="s">
        <v>33</v>
      </c>
      <c r="C19" s="11"/>
      <c r="D19" s="11"/>
      <c r="E19" s="11"/>
      <c r="F19" s="11"/>
      <c r="G19" s="12">
        <v>0</v>
      </c>
      <c r="H19" s="11" t="s">
        <v>30</v>
      </c>
      <c r="I19" s="11" t="s">
        <v>146</v>
      </c>
      <c r="J19" s="11"/>
      <c r="K19" s="11"/>
      <c r="L19" s="11"/>
      <c r="M19" s="11"/>
    </row>
    <row r="20" spans="2:13">
      <c r="G20" s="1"/>
    </row>
    <row r="21" spans="2:13">
      <c r="B21" s="11" t="s">
        <v>31</v>
      </c>
      <c r="C21" s="11"/>
      <c r="D21" s="11"/>
      <c r="E21" s="11"/>
      <c r="F21" s="11"/>
      <c r="G21" s="12">
        <v>0</v>
      </c>
      <c r="H21" s="11" t="s">
        <v>32</v>
      </c>
    </row>
    <row r="22" spans="2:13">
      <c r="B22" s="11"/>
      <c r="C22" s="11"/>
      <c r="D22" s="11"/>
      <c r="E22" s="11"/>
      <c r="F22" s="11"/>
      <c r="G22" s="12">
        <v>0</v>
      </c>
      <c r="H22" s="11" t="s">
        <v>110</v>
      </c>
    </row>
    <row r="23" spans="2:13">
      <c r="B23" s="11"/>
      <c r="C23" s="11"/>
      <c r="D23" s="11"/>
      <c r="E23" s="11"/>
      <c r="F23" s="11"/>
      <c r="G23" s="12">
        <v>0</v>
      </c>
      <c r="H23" s="11" t="s">
        <v>65</v>
      </c>
    </row>
    <row r="24" spans="2:13">
      <c r="B24" s="11"/>
      <c r="C24" s="11"/>
      <c r="D24" s="11"/>
      <c r="E24" s="11"/>
      <c r="F24" s="11"/>
      <c r="G24" s="12">
        <v>0</v>
      </c>
      <c r="H24" s="11" t="s">
        <v>66</v>
      </c>
    </row>
    <row r="25" spans="2:13">
      <c r="B25" s="11"/>
      <c r="C25" s="11"/>
      <c r="D25" s="11"/>
      <c r="E25" s="11"/>
      <c r="F25" s="11"/>
      <c r="G25" s="12">
        <v>0</v>
      </c>
      <c r="H25" s="11" t="s">
        <v>138</v>
      </c>
    </row>
    <row r="26" spans="2:13">
      <c r="B26" s="11"/>
      <c r="C26" s="11"/>
      <c r="D26" s="11"/>
      <c r="E26" s="11"/>
      <c r="F26" s="11"/>
      <c r="G26" s="12">
        <v>0</v>
      </c>
      <c r="H26" s="11" t="s">
        <v>34</v>
      </c>
      <c r="I26" s="11" t="s">
        <v>108</v>
      </c>
      <c r="J26" s="11"/>
      <c r="K26" s="11"/>
      <c r="L26" s="11"/>
      <c r="M26" s="11"/>
    </row>
    <row r="27" spans="2:13">
      <c r="B27" s="11"/>
      <c r="C27" s="11"/>
      <c r="D27" s="11"/>
      <c r="E27" s="11"/>
      <c r="F27" s="11"/>
      <c r="G27" s="12">
        <v>0</v>
      </c>
      <c r="H27" s="11" t="s">
        <v>34</v>
      </c>
      <c r="I27" s="11" t="s">
        <v>108</v>
      </c>
      <c r="J27" s="11"/>
      <c r="K27" s="11"/>
      <c r="L27" s="11"/>
      <c r="M27" s="11"/>
    </row>
    <row r="28" spans="2:13">
      <c r="B28" s="11"/>
      <c r="C28" s="11"/>
      <c r="D28" s="11"/>
      <c r="E28" s="11"/>
      <c r="F28" s="11"/>
      <c r="G28" s="12">
        <v>0</v>
      </c>
      <c r="H28" s="11" t="s">
        <v>34</v>
      </c>
      <c r="I28" s="11" t="s">
        <v>108</v>
      </c>
      <c r="J28" s="11"/>
      <c r="K28" s="11"/>
      <c r="L28" s="11"/>
      <c r="M28" s="11"/>
    </row>
    <row r="29" spans="2:13">
      <c r="G29" s="1"/>
    </row>
    <row r="30" spans="2:13">
      <c r="B30" t="s">
        <v>35</v>
      </c>
      <c r="G30" s="5">
        <v>234</v>
      </c>
      <c r="H30" t="s">
        <v>36</v>
      </c>
    </row>
    <row r="31" spans="2:13">
      <c r="G31" s="5">
        <v>400</v>
      </c>
      <c r="H31" t="s">
        <v>111</v>
      </c>
    </row>
    <row r="32" spans="2:13">
      <c r="G32" s="5">
        <v>0</v>
      </c>
      <c r="H32" t="s">
        <v>70</v>
      </c>
    </row>
    <row r="33" spans="2:13">
      <c r="G33" s="5">
        <v>0</v>
      </c>
      <c r="H33" t="s">
        <v>149</v>
      </c>
    </row>
    <row r="34" spans="2:13">
      <c r="G34" s="5">
        <v>0</v>
      </c>
      <c r="H34" t="s">
        <v>150</v>
      </c>
    </row>
    <row r="35" spans="2:13">
      <c r="G35" s="5">
        <v>0</v>
      </c>
      <c r="H35" t="s">
        <v>38</v>
      </c>
      <c r="I35" s="11" t="s">
        <v>108</v>
      </c>
      <c r="J35" s="11"/>
      <c r="K35" s="11"/>
      <c r="L35" s="11"/>
      <c r="M35" s="11"/>
    </row>
    <row r="36" spans="2:13">
      <c r="G36" s="5">
        <v>0</v>
      </c>
      <c r="H36" t="s">
        <v>38</v>
      </c>
      <c r="I36" s="11" t="s">
        <v>108</v>
      </c>
      <c r="J36" s="11"/>
      <c r="K36" s="11"/>
      <c r="L36" s="11"/>
      <c r="M36" s="11"/>
    </row>
    <row r="37" spans="2:13">
      <c r="G37" s="5">
        <v>0</v>
      </c>
      <c r="H37" t="s">
        <v>38</v>
      </c>
      <c r="I37" s="11" t="s">
        <v>108</v>
      </c>
      <c r="J37" s="11"/>
      <c r="K37" s="11"/>
      <c r="L37" s="11"/>
      <c r="M37" s="11"/>
    </row>
    <row r="38" spans="2:13">
      <c r="G38" s="1"/>
    </row>
    <row r="39" spans="2:13">
      <c r="B39" t="s">
        <v>40</v>
      </c>
      <c r="G39" s="2">
        <f>(G12*G21*G30)/1000+(G13*G22*G31)/1000+(G14*G23*G32)/1000+(G15*G24*G33)/1000+(G16*G25*G34)/1000+(G17*G26*G35)/1000+(G18*G27*G36)/1000+(G19*G28*G37)/1000</f>
        <v>0</v>
      </c>
      <c r="H39" t="s">
        <v>41</v>
      </c>
    </row>
    <row r="40" spans="2:13">
      <c r="G40" s="1"/>
    </row>
    <row r="41" spans="2:13">
      <c r="B41" s="11" t="s">
        <v>8</v>
      </c>
      <c r="C41" s="11"/>
      <c r="D41" s="11"/>
      <c r="E41" s="11"/>
      <c r="F41" s="11"/>
      <c r="G41" s="12">
        <v>0</v>
      </c>
      <c r="H41" s="11" t="s">
        <v>2</v>
      </c>
    </row>
    <row r="42" spans="2:13">
      <c r="B42" s="11"/>
      <c r="C42" s="11"/>
      <c r="D42" s="11"/>
      <c r="E42" s="11"/>
      <c r="F42" s="11"/>
      <c r="G42" s="12">
        <v>0</v>
      </c>
      <c r="H42" s="11" t="s">
        <v>7</v>
      </c>
    </row>
    <row r="43" spans="2:13">
      <c r="B43" s="11"/>
      <c r="C43" s="11"/>
      <c r="D43" s="11"/>
      <c r="E43" s="11"/>
      <c r="F43" s="11"/>
      <c r="G43" s="12">
        <v>0</v>
      </c>
      <c r="H43" s="11" t="s">
        <v>3</v>
      </c>
    </row>
    <row r="44" spans="2:13">
      <c r="G44" s="6">
        <f>G41+G42+G43/2</f>
        <v>0</v>
      </c>
      <c r="H44" t="s">
        <v>4</v>
      </c>
    </row>
    <row r="46" spans="2:13">
      <c r="B46" s="11" t="s">
        <v>10</v>
      </c>
      <c r="C46" s="11"/>
      <c r="D46" s="11"/>
      <c r="E46" s="11"/>
      <c r="F46" s="11"/>
      <c r="G46" s="12">
        <v>0</v>
      </c>
      <c r="H46" s="11" t="s">
        <v>12</v>
      </c>
    </row>
    <row r="47" spans="2:13">
      <c r="B47" s="11"/>
      <c r="C47" s="11"/>
      <c r="D47" s="11"/>
      <c r="E47" s="11"/>
      <c r="F47" s="11"/>
      <c r="G47" s="12">
        <v>0</v>
      </c>
      <c r="H47" s="11" t="s">
        <v>104</v>
      </c>
    </row>
    <row r="48" spans="2:13">
      <c r="B48" s="11"/>
      <c r="C48" s="11"/>
      <c r="D48" s="11"/>
      <c r="E48" s="11"/>
      <c r="F48" s="11"/>
      <c r="G48" s="12">
        <v>0</v>
      </c>
      <c r="H48" s="11" t="s">
        <v>105</v>
      </c>
    </row>
    <row r="50" spans="2:8">
      <c r="B50" s="11" t="s">
        <v>106</v>
      </c>
      <c r="C50" s="11"/>
      <c r="D50" s="11"/>
      <c r="E50" s="11"/>
      <c r="F50" s="11"/>
      <c r="G50" s="13">
        <v>0</v>
      </c>
      <c r="H50" s="11" t="s">
        <v>77</v>
      </c>
    </row>
    <row r="51" spans="2:8">
      <c r="B51" s="11" t="s">
        <v>15</v>
      </c>
      <c r="C51" s="11"/>
      <c r="D51" s="11"/>
      <c r="E51" s="11"/>
      <c r="F51" s="11"/>
      <c r="G51" s="13">
        <v>0</v>
      </c>
      <c r="H51" s="11" t="s">
        <v>13</v>
      </c>
    </row>
    <row r="52" spans="2:8">
      <c r="B52" s="11" t="s">
        <v>16</v>
      </c>
      <c r="C52" s="11"/>
      <c r="D52" s="11"/>
      <c r="E52" s="11"/>
      <c r="F52" s="11"/>
      <c r="G52" s="13">
        <v>0</v>
      </c>
      <c r="H52" s="11" t="s">
        <v>13</v>
      </c>
    </row>
    <row r="53" spans="2:8">
      <c r="B53" s="11" t="s">
        <v>17</v>
      </c>
      <c r="C53" s="11"/>
      <c r="D53" s="11"/>
      <c r="E53" s="11"/>
      <c r="F53" s="11"/>
      <c r="G53" s="13">
        <v>0</v>
      </c>
      <c r="H53" s="11" t="s">
        <v>13</v>
      </c>
    </row>
    <row r="54" spans="2:8">
      <c r="B54" s="11" t="s">
        <v>18</v>
      </c>
      <c r="C54" s="11"/>
      <c r="D54" s="11"/>
      <c r="E54" s="11"/>
      <c r="F54" s="11"/>
      <c r="G54" s="13">
        <v>0</v>
      </c>
      <c r="H54" s="11" t="s">
        <v>13</v>
      </c>
    </row>
    <row r="56" spans="2:8">
      <c r="B56" t="s">
        <v>95</v>
      </c>
      <c r="G56" s="1">
        <v>10</v>
      </c>
      <c r="H56" t="s">
        <v>5</v>
      </c>
    </row>
    <row r="57" spans="2:8">
      <c r="B57" t="s">
        <v>96</v>
      </c>
      <c r="G57" s="1">
        <v>45</v>
      </c>
      <c r="H57" t="s">
        <v>5</v>
      </c>
    </row>
    <row r="58" spans="2:8">
      <c r="B58" t="s">
        <v>79</v>
      </c>
      <c r="G58" s="1">
        <v>0.1</v>
      </c>
      <c r="H58" t="s">
        <v>82</v>
      </c>
    </row>
    <row r="59" spans="2:8">
      <c r="B59" t="s">
        <v>80</v>
      </c>
      <c r="G59" s="1">
        <v>0.5</v>
      </c>
      <c r="H59" t="s">
        <v>83</v>
      </c>
    </row>
    <row r="60" spans="2:8">
      <c r="B60" t="s">
        <v>97</v>
      </c>
      <c r="G60" s="5">
        <v>35</v>
      </c>
      <c r="H60" t="s">
        <v>81</v>
      </c>
    </row>
    <row r="62" spans="2:8">
      <c r="B62" t="s">
        <v>14</v>
      </c>
      <c r="G62" s="6">
        <f>G41*G46*(G47+G48)/7</f>
        <v>0</v>
      </c>
      <c r="H62" t="s">
        <v>11</v>
      </c>
    </row>
    <row r="63" spans="2:8">
      <c r="G63" s="6"/>
    </row>
    <row r="64" spans="2:8">
      <c r="B64" t="s">
        <v>93</v>
      </c>
      <c r="G64" s="2">
        <f>365*G44*G56/1000000*G8</f>
        <v>0</v>
      </c>
      <c r="H64" t="s">
        <v>91</v>
      </c>
    </row>
    <row r="65" spans="2:12">
      <c r="G65" s="2">
        <f>365*G44*G57/1000000*G9</f>
        <v>0</v>
      </c>
      <c r="H65" t="s">
        <v>85</v>
      </c>
    </row>
    <row r="66" spans="2:12">
      <c r="G66" s="2">
        <f>G64+G65</f>
        <v>0</v>
      </c>
      <c r="H66" t="s">
        <v>89</v>
      </c>
    </row>
    <row r="67" spans="2:12">
      <c r="G67" s="7"/>
    </row>
    <row r="68" spans="2:12">
      <c r="B68" t="s">
        <v>86</v>
      </c>
      <c r="G68" s="2">
        <f>G58*365*G60</f>
        <v>1277.5</v>
      </c>
      <c r="H68" t="s">
        <v>84</v>
      </c>
    </row>
    <row r="69" spans="2:12">
      <c r="G69" s="2">
        <f>G59*52*G60</f>
        <v>910</v>
      </c>
      <c r="H69" t="s">
        <v>87</v>
      </c>
    </row>
    <row r="70" spans="2:12">
      <c r="G70" s="2">
        <f>SUM(G68:G69)</f>
        <v>2187.5</v>
      </c>
      <c r="H70" t="s">
        <v>88</v>
      </c>
    </row>
    <row r="71" spans="2:12">
      <c r="G71" s="7"/>
    </row>
    <row r="72" spans="2:12">
      <c r="B72" t="s">
        <v>90</v>
      </c>
      <c r="G72" s="2">
        <f>G64+G68</f>
        <v>1277.5</v>
      </c>
      <c r="H72" t="s">
        <v>91</v>
      </c>
    </row>
    <row r="73" spans="2:12">
      <c r="G73" s="2" t="e">
        <f>(G72/G62)*100</f>
        <v>#DIV/0!</v>
      </c>
      <c r="H73" t="s">
        <v>98</v>
      </c>
    </row>
    <row r="74" spans="2:12">
      <c r="G74" s="2">
        <f>G65+G69</f>
        <v>910</v>
      </c>
      <c r="H74" t="s">
        <v>85</v>
      </c>
    </row>
    <row r="75" spans="2:12">
      <c r="G75" s="2" t="e">
        <f>(G74/G62)*100</f>
        <v>#DIV/0!</v>
      </c>
      <c r="H75" t="s">
        <v>99</v>
      </c>
    </row>
    <row r="76" spans="2:12">
      <c r="G76" s="2">
        <f>G72+G74</f>
        <v>2187.5</v>
      </c>
      <c r="H76" t="s">
        <v>92</v>
      </c>
      <c r="K76" s="21" t="e">
        <f>G76/G62*100</f>
        <v>#DIV/0!</v>
      </c>
      <c r="L76" t="s">
        <v>109</v>
      </c>
    </row>
    <row r="77" spans="2:12">
      <c r="G77" s="2" t="e">
        <f>(G76/G62)*100</f>
        <v>#DIV/0!</v>
      </c>
      <c r="H77" t="s">
        <v>100</v>
      </c>
    </row>
    <row r="78" spans="2:12">
      <c r="G78" s="7"/>
    </row>
    <row r="79" spans="2:12">
      <c r="B79" t="s">
        <v>25</v>
      </c>
      <c r="G79" s="7"/>
    </row>
    <row r="80" spans="2:12">
      <c r="G80" s="6"/>
    </row>
    <row r="81" spans="2:11">
      <c r="B81" t="s">
        <v>24</v>
      </c>
      <c r="G81" s="7">
        <f>G76/100*100</f>
        <v>2187.5</v>
      </c>
      <c r="H81" t="s">
        <v>19</v>
      </c>
    </row>
    <row r="82" spans="2:11">
      <c r="G82" s="7" t="e">
        <f>G81/G41</f>
        <v>#DIV/0!</v>
      </c>
      <c r="H82" t="s">
        <v>145</v>
      </c>
    </row>
    <row r="83" spans="2:11">
      <c r="J83" s="7" t="e">
        <f>G82/G46*100</f>
        <v>#DIV/0!</v>
      </c>
      <c r="K83" t="s">
        <v>73</v>
      </c>
    </row>
    <row r="84" spans="2:11">
      <c r="B84" t="s">
        <v>21</v>
      </c>
      <c r="G84" s="7" t="e">
        <f>G76/G51</f>
        <v>#DIV/0!</v>
      </c>
      <c r="H84" t="s">
        <v>27</v>
      </c>
      <c r="I84" t="s">
        <v>26</v>
      </c>
      <c r="J84" s="7" t="e">
        <f>G84/(G43+G84)*100</f>
        <v>#DIV/0!</v>
      </c>
      <c r="K84" t="s">
        <v>67</v>
      </c>
    </row>
    <row r="85" spans="2:11">
      <c r="B85" t="s">
        <v>20</v>
      </c>
      <c r="G85" s="7" t="e">
        <f>G76/G52</f>
        <v>#DIV/0!</v>
      </c>
      <c r="H85" t="s">
        <v>27</v>
      </c>
      <c r="I85" t="s">
        <v>26</v>
      </c>
      <c r="J85" s="7" t="e">
        <f>G85/(G43+G85)*100</f>
        <v>#DIV/0!</v>
      </c>
      <c r="K85" t="s">
        <v>67</v>
      </c>
    </row>
    <row r="86" spans="2:11">
      <c r="B86" t="s">
        <v>22</v>
      </c>
      <c r="G86" s="7" t="e">
        <f>G76/G53</f>
        <v>#DIV/0!</v>
      </c>
      <c r="H86" t="s">
        <v>27</v>
      </c>
      <c r="I86" t="s">
        <v>26</v>
      </c>
      <c r="J86" s="7" t="e">
        <f>G86/(G43+G86)*100</f>
        <v>#DIV/0!</v>
      </c>
      <c r="K86" t="s">
        <v>67</v>
      </c>
    </row>
    <row r="87" spans="2:11">
      <c r="B87" t="s">
        <v>23</v>
      </c>
      <c r="G87" s="7" t="e">
        <f>G76/G54</f>
        <v>#DIV/0!</v>
      </c>
      <c r="H87" t="s">
        <v>27</v>
      </c>
      <c r="I87" t="s">
        <v>26</v>
      </c>
      <c r="J87" s="7" t="e">
        <f>G87/(G41)*100</f>
        <v>#DIV/0!</v>
      </c>
      <c r="K87" t="s">
        <v>67</v>
      </c>
    </row>
    <row r="88" spans="2:11">
      <c r="B88" t="s">
        <v>39</v>
      </c>
      <c r="J88" s="7" t="e">
        <f>G76/G39*100</f>
        <v>#DIV/0!</v>
      </c>
      <c r="K88" s="8" t="s">
        <v>72</v>
      </c>
    </row>
    <row r="89" spans="2:11">
      <c r="B89" t="s">
        <v>74</v>
      </c>
    </row>
    <row r="90" spans="2:11">
      <c r="B90" t="s">
        <v>78</v>
      </c>
    </row>
    <row r="92" spans="2:11">
      <c r="B92" t="s">
        <v>75</v>
      </c>
    </row>
    <row r="93" spans="2:11">
      <c r="B93" t="s">
        <v>50</v>
      </c>
      <c r="C93" s="1">
        <v>5</v>
      </c>
      <c r="D93" t="s">
        <v>57</v>
      </c>
    </row>
    <row r="94" spans="2:11">
      <c r="C94" s="1">
        <v>1</v>
      </c>
      <c r="D94" t="s">
        <v>42</v>
      </c>
    </row>
    <row r="95" spans="2:11">
      <c r="C95" s="1">
        <v>1</v>
      </c>
      <c r="D95" t="s">
        <v>59</v>
      </c>
    </row>
    <row r="96" spans="2:11">
      <c r="C96" s="1">
        <v>1</v>
      </c>
      <c r="D96" t="s">
        <v>43</v>
      </c>
    </row>
    <row r="97" spans="2:12">
      <c r="C97" s="1">
        <v>1</v>
      </c>
      <c r="D97" t="s">
        <v>44</v>
      </c>
    </row>
    <row r="98" spans="2:12">
      <c r="C98" s="1">
        <v>1</v>
      </c>
      <c r="D98" t="s">
        <v>45</v>
      </c>
      <c r="F98" t="s">
        <v>46</v>
      </c>
      <c r="G98">
        <f>(100+C98)*G47/100</f>
        <v>0</v>
      </c>
      <c r="H98" t="s">
        <v>48</v>
      </c>
      <c r="K98">
        <f>G47</f>
        <v>0</v>
      </c>
      <c r="L98" t="s">
        <v>47</v>
      </c>
    </row>
    <row r="99" spans="2:12">
      <c r="C99" s="1">
        <v>1</v>
      </c>
      <c r="D99" t="s">
        <v>49</v>
      </c>
    </row>
    <row r="100" spans="2:12">
      <c r="D100" t="s">
        <v>76</v>
      </c>
    </row>
    <row r="102" spans="2:12">
      <c r="B102" t="s">
        <v>51</v>
      </c>
      <c r="C102" s="3">
        <f>G51*G43*C93/100</f>
        <v>0</v>
      </c>
      <c r="D102" t="s">
        <v>56</v>
      </c>
    </row>
    <row r="103" spans="2:12">
      <c r="C103" s="3">
        <f>G52*G43*C94/100</f>
        <v>0</v>
      </c>
      <c r="D103" t="s">
        <v>52</v>
      </c>
    </row>
    <row r="104" spans="2:12">
      <c r="C104" s="3">
        <f>G53*G43*C95/100</f>
        <v>0</v>
      </c>
      <c r="D104" t="s">
        <v>53</v>
      </c>
    </row>
    <row r="105" spans="2:12">
      <c r="C105" s="3">
        <f>G54*G41*C96/100</f>
        <v>0</v>
      </c>
      <c r="D105" t="s">
        <v>58</v>
      </c>
    </row>
    <row r="106" spans="2:12">
      <c r="C106" s="3">
        <f>C97/100*G62*G50/100</f>
        <v>0</v>
      </c>
      <c r="D106" t="s">
        <v>54</v>
      </c>
    </row>
    <row r="107" spans="2:12">
      <c r="B107" s="1"/>
      <c r="C107" s="3">
        <f>C98/100*G47/100*G46*G41/0.07</f>
        <v>0</v>
      </c>
      <c r="D107" t="s">
        <v>62</v>
      </c>
    </row>
    <row r="108" spans="2:12">
      <c r="C108" s="3">
        <f>C99/100*G39</f>
        <v>0</v>
      </c>
      <c r="D108" t="s">
        <v>55</v>
      </c>
    </row>
    <row r="109" spans="2:12">
      <c r="C109" s="9"/>
    </row>
    <row r="110" spans="2:12">
      <c r="C110" s="3">
        <f>SUM(C102:C108)</f>
        <v>0</v>
      </c>
      <c r="D110" t="s">
        <v>101</v>
      </c>
    </row>
    <row r="111" spans="2:12">
      <c r="C111" s="3" t="e">
        <f>(C110/G62)*100</f>
        <v>#DIV/0!</v>
      </c>
      <c r="D111" t="s">
        <v>102</v>
      </c>
    </row>
    <row r="112" spans="2:12">
      <c r="C112" s="3">
        <f>G76</f>
        <v>2187.5</v>
      </c>
      <c r="D112" t="s">
        <v>94</v>
      </c>
    </row>
    <row r="113" spans="1:5">
      <c r="C113" s="10"/>
    </row>
    <row r="114" spans="1:5">
      <c r="C114" s="3">
        <f>C110-C112</f>
        <v>-2187.5</v>
      </c>
      <c r="D114" t="s">
        <v>71</v>
      </c>
    </row>
    <row r="115" spans="1:5">
      <c r="E115" t="s">
        <v>60</v>
      </c>
    </row>
    <row r="116" spans="1:5">
      <c r="C116" s="3" t="e">
        <f>(C114/G62)*100</f>
        <v>#DIV/0!</v>
      </c>
      <c r="D116" t="s">
        <v>103</v>
      </c>
    </row>
    <row r="117" spans="1:5">
      <c r="C117" s="3"/>
    </row>
    <row r="118" spans="1:5">
      <c r="A118" s="1" t="s">
        <v>68</v>
      </c>
    </row>
    <row r="119" spans="1:5">
      <c r="A119" t="s">
        <v>69</v>
      </c>
    </row>
  </sheetData>
  <pageMargins left="0.7" right="0.7" top="0.75" bottom="0.75" header="0.3" footer="0.3"/>
  <pageSetup paperSize="9" scale="65"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8F0E5-E052-4F21-91C9-7F912FA70E64}">
  <dimension ref="A1:M119"/>
  <sheetViews>
    <sheetView topLeftCell="A96" zoomScale="142" zoomScaleNormal="142" workbookViewId="0">
      <selection activeCell="B63" sqref="B63"/>
    </sheetView>
  </sheetViews>
  <sheetFormatPr defaultColWidth="11" defaultRowHeight="15.75"/>
  <cols>
    <col min="3" max="3" width="11.625" bestFit="1" customWidth="1"/>
    <col min="7" max="7" width="19.25" bestFit="1" customWidth="1"/>
    <col min="8" max="8" width="19.625" customWidth="1"/>
    <col min="10" max="10" width="16.75" customWidth="1"/>
    <col min="11" max="11" width="13.5" customWidth="1"/>
  </cols>
  <sheetData>
    <row r="1" spans="1:13" ht="26.25">
      <c r="A1" s="4"/>
    </row>
    <row r="2" spans="1:13" ht="26.25">
      <c r="A2" s="4" t="s">
        <v>61</v>
      </c>
    </row>
    <row r="3" spans="1:13" ht="26.25">
      <c r="A3" s="4"/>
    </row>
    <row r="4" spans="1:13" ht="26.25">
      <c r="A4" s="4"/>
    </row>
    <row r="5" spans="1:13" ht="26.25">
      <c r="A5" s="4"/>
      <c r="B5" s="11" t="s">
        <v>9</v>
      </c>
      <c r="C5" s="11"/>
      <c r="D5" s="11"/>
      <c r="E5" s="11"/>
      <c r="F5" s="11"/>
      <c r="G5" s="11" t="s">
        <v>152</v>
      </c>
      <c r="H5" s="11"/>
    </row>
    <row r="8" spans="1:13">
      <c r="B8" t="s">
        <v>147</v>
      </c>
      <c r="G8" s="5">
        <v>420</v>
      </c>
      <c r="H8" t="s">
        <v>6</v>
      </c>
    </row>
    <row r="9" spans="1:13">
      <c r="B9" t="s">
        <v>148</v>
      </c>
      <c r="G9" s="5">
        <v>399</v>
      </c>
      <c r="H9" t="s">
        <v>6</v>
      </c>
    </row>
    <row r="10" spans="1:13">
      <c r="G10" s="1"/>
    </row>
    <row r="11" spans="1:13">
      <c r="B11" s="12" t="s">
        <v>28</v>
      </c>
      <c r="C11" s="11"/>
      <c r="D11" s="11"/>
      <c r="E11" s="11"/>
      <c r="F11" s="11"/>
      <c r="G11" s="12"/>
      <c r="H11" s="11"/>
    </row>
    <row r="12" spans="1:13">
      <c r="B12" s="11" t="s">
        <v>29</v>
      </c>
      <c r="C12" s="11"/>
      <c r="D12" s="11"/>
      <c r="E12" s="11"/>
      <c r="F12" s="11"/>
      <c r="G12" s="12">
        <v>0</v>
      </c>
      <c r="H12" s="11" t="s">
        <v>30</v>
      </c>
    </row>
    <row r="13" spans="1:13">
      <c r="B13" s="11" t="s">
        <v>136</v>
      </c>
      <c r="C13" s="11"/>
      <c r="D13" s="11"/>
      <c r="E13" s="11"/>
      <c r="F13" s="11"/>
      <c r="G13" s="12">
        <v>0</v>
      </c>
      <c r="H13" s="11" t="s">
        <v>30</v>
      </c>
    </row>
    <row r="14" spans="1:13">
      <c r="B14" s="11" t="s">
        <v>64</v>
      </c>
      <c r="C14" s="11"/>
      <c r="D14" s="11"/>
      <c r="E14" s="11"/>
      <c r="F14" s="11"/>
      <c r="G14" s="12">
        <v>0</v>
      </c>
      <c r="H14" s="11" t="s">
        <v>30</v>
      </c>
    </row>
    <row r="15" spans="1:13">
      <c r="B15" s="11" t="s">
        <v>137</v>
      </c>
      <c r="C15" s="11"/>
      <c r="D15" s="11"/>
      <c r="E15" s="11"/>
      <c r="F15" s="11"/>
      <c r="G15" s="12">
        <v>0</v>
      </c>
      <c r="H15" s="11" t="s">
        <v>30</v>
      </c>
    </row>
    <row r="16" spans="1:13">
      <c r="B16" s="11" t="s">
        <v>33</v>
      </c>
      <c r="C16" s="11"/>
      <c r="D16" s="11"/>
      <c r="E16" s="11"/>
      <c r="F16" s="11"/>
      <c r="G16" s="12">
        <v>0</v>
      </c>
      <c r="H16" s="11" t="s">
        <v>30</v>
      </c>
      <c r="I16" s="11" t="s">
        <v>146</v>
      </c>
      <c r="J16" s="11"/>
      <c r="K16" s="11"/>
      <c r="L16" s="11"/>
      <c r="M16" s="11"/>
    </row>
    <row r="17" spans="2:13">
      <c r="B17" s="11" t="s">
        <v>33</v>
      </c>
      <c r="C17" s="11"/>
      <c r="D17" s="11"/>
      <c r="E17" s="11"/>
      <c r="F17" s="11"/>
      <c r="G17" s="12">
        <v>0</v>
      </c>
      <c r="H17" s="11" t="s">
        <v>30</v>
      </c>
      <c r="I17" s="11" t="s">
        <v>146</v>
      </c>
      <c r="J17" s="11"/>
      <c r="K17" s="11"/>
      <c r="L17" s="11"/>
      <c r="M17" s="11"/>
    </row>
    <row r="18" spans="2:13">
      <c r="B18" s="11" t="s">
        <v>33</v>
      </c>
      <c r="C18" s="11"/>
      <c r="D18" s="11"/>
      <c r="E18" s="11"/>
      <c r="F18" s="11"/>
      <c r="G18" s="12">
        <v>0</v>
      </c>
      <c r="H18" s="11" t="s">
        <v>30</v>
      </c>
      <c r="I18" s="11" t="s">
        <v>146</v>
      </c>
      <c r="J18" s="11"/>
      <c r="K18" s="11"/>
      <c r="L18" s="11"/>
      <c r="M18" s="11"/>
    </row>
    <row r="19" spans="2:13">
      <c r="B19" s="11" t="s">
        <v>33</v>
      </c>
      <c r="C19" s="11"/>
      <c r="D19" s="11"/>
      <c r="E19" s="11"/>
      <c r="F19" s="11"/>
      <c r="G19" s="12">
        <v>0</v>
      </c>
      <c r="H19" s="11" t="s">
        <v>30</v>
      </c>
      <c r="I19" s="11" t="s">
        <v>146</v>
      </c>
      <c r="J19" s="11"/>
      <c r="K19" s="11"/>
      <c r="L19" s="11"/>
      <c r="M19" s="11"/>
    </row>
    <row r="20" spans="2:13">
      <c r="G20" s="1"/>
    </row>
    <row r="21" spans="2:13">
      <c r="B21" s="11" t="s">
        <v>31</v>
      </c>
      <c r="C21" s="11"/>
      <c r="D21" s="11"/>
      <c r="E21" s="11"/>
      <c r="F21" s="11"/>
      <c r="G21" s="12">
        <v>0</v>
      </c>
      <c r="H21" s="11" t="s">
        <v>32</v>
      </c>
    </row>
    <row r="22" spans="2:13">
      <c r="B22" s="11"/>
      <c r="C22" s="11"/>
      <c r="D22" s="11"/>
      <c r="E22" s="11"/>
      <c r="F22" s="11"/>
      <c r="G22" s="12">
        <v>0</v>
      </c>
      <c r="H22" s="11" t="s">
        <v>110</v>
      </c>
    </row>
    <row r="23" spans="2:13">
      <c r="B23" s="11"/>
      <c r="C23" s="11"/>
      <c r="D23" s="11"/>
      <c r="E23" s="11"/>
      <c r="F23" s="11"/>
      <c r="G23" s="12">
        <v>0</v>
      </c>
      <c r="H23" s="11" t="s">
        <v>66</v>
      </c>
    </row>
    <row r="24" spans="2:13">
      <c r="B24" s="11"/>
      <c r="C24" s="11"/>
      <c r="D24" s="11"/>
      <c r="E24" s="11"/>
      <c r="F24" s="11"/>
      <c r="G24" s="12">
        <v>0</v>
      </c>
      <c r="H24" s="11" t="s">
        <v>138</v>
      </c>
      <c r="I24" s="11"/>
      <c r="J24" s="11"/>
      <c r="K24" s="11"/>
      <c r="L24" s="11"/>
      <c r="M24" s="11"/>
    </row>
    <row r="25" spans="2:13">
      <c r="B25" s="11"/>
      <c r="C25" s="11"/>
      <c r="D25" s="11"/>
      <c r="E25" s="11"/>
      <c r="F25" s="11"/>
      <c r="G25" s="12">
        <v>0</v>
      </c>
      <c r="H25" s="11" t="s">
        <v>34</v>
      </c>
      <c r="I25" s="11" t="s">
        <v>108</v>
      </c>
      <c r="J25" s="11"/>
      <c r="K25" s="11"/>
      <c r="L25" s="11"/>
      <c r="M25" s="11"/>
    </row>
    <row r="26" spans="2:13">
      <c r="B26" s="11"/>
      <c r="C26" s="11"/>
      <c r="D26" s="11"/>
      <c r="E26" s="11"/>
      <c r="F26" s="11"/>
      <c r="G26" s="12">
        <v>0</v>
      </c>
      <c r="H26" s="11" t="s">
        <v>34</v>
      </c>
      <c r="I26" s="11" t="s">
        <v>108</v>
      </c>
      <c r="J26" s="11"/>
      <c r="K26" s="11"/>
      <c r="L26" s="11"/>
      <c r="M26" s="11"/>
    </row>
    <row r="27" spans="2:13">
      <c r="B27" s="11"/>
      <c r="C27" s="11"/>
      <c r="D27" s="11"/>
      <c r="E27" s="11"/>
      <c r="F27" s="11"/>
      <c r="G27" s="12">
        <v>0</v>
      </c>
      <c r="H27" s="11" t="s">
        <v>34</v>
      </c>
      <c r="I27" s="11" t="s">
        <v>108</v>
      </c>
      <c r="J27" s="11"/>
      <c r="K27" s="11"/>
      <c r="L27" s="11"/>
      <c r="M27" s="11"/>
    </row>
    <row r="28" spans="2:13">
      <c r="B28" s="11"/>
      <c r="C28" s="11"/>
      <c r="D28" s="11"/>
      <c r="E28" s="11"/>
      <c r="F28" s="11"/>
      <c r="G28" s="12">
        <v>0</v>
      </c>
      <c r="H28" s="11" t="s">
        <v>34</v>
      </c>
      <c r="I28" s="11" t="s">
        <v>108</v>
      </c>
      <c r="J28" s="11"/>
      <c r="K28" s="11"/>
      <c r="L28" s="11"/>
      <c r="M28" s="11"/>
    </row>
    <row r="29" spans="2:13">
      <c r="G29" s="1"/>
    </row>
    <row r="30" spans="2:13">
      <c r="B30" t="s">
        <v>35</v>
      </c>
      <c r="G30" s="5">
        <v>181</v>
      </c>
      <c r="H30" t="s">
        <v>36</v>
      </c>
    </row>
    <row r="31" spans="2:13">
      <c r="G31" s="5">
        <v>268</v>
      </c>
      <c r="H31" t="s">
        <v>111</v>
      </c>
    </row>
    <row r="32" spans="2:13">
      <c r="G32" s="5">
        <v>0</v>
      </c>
      <c r="H32" t="s">
        <v>37</v>
      </c>
    </row>
    <row r="33" spans="2:13">
      <c r="G33" s="5">
        <v>0</v>
      </c>
      <c r="H33" t="s">
        <v>139</v>
      </c>
    </row>
    <row r="34" spans="2:13">
      <c r="G34" s="5">
        <v>0</v>
      </c>
      <c r="H34" t="s">
        <v>38</v>
      </c>
      <c r="I34" s="11" t="s">
        <v>108</v>
      </c>
      <c r="J34" s="11"/>
      <c r="K34" s="11"/>
      <c r="L34" s="11"/>
      <c r="M34" s="11"/>
    </row>
    <row r="35" spans="2:13">
      <c r="G35" s="5">
        <v>0</v>
      </c>
      <c r="H35" t="s">
        <v>38</v>
      </c>
      <c r="I35" s="11" t="s">
        <v>108</v>
      </c>
      <c r="J35" s="11"/>
      <c r="K35" s="11"/>
      <c r="L35" s="11"/>
      <c r="M35" s="11"/>
    </row>
    <row r="36" spans="2:13">
      <c r="G36" s="5">
        <v>0</v>
      </c>
      <c r="H36" t="s">
        <v>38</v>
      </c>
      <c r="I36" s="11" t="s">
        <v>108</v>
      </c>
      <c r="J36" s="11"/>
      <c r="K36" s="11"/>
      <c r="L36" s="11"/>
      <c r="M36" s="11"/>
    </row>
    <row r="37" spans="2:13">
      <c r="G37" s="5">
        <v>0</v>
      </c>
      <c r="H37" t="s">
        <v>38</v>
      </c>
      <c r="I37" s="11" t="s">
        <v>108</v>
      </c>
      <c r="J37" s="11"/>
      <c r="K37" s="11"/>
      <c r="L37" s="11"/>
      <c r="M37" s="11"/>
    </row>
    <row r="38" spans="2:13">
      <c r="G38" s="1"/>
    </row>
    <row r="39" spans="2:13">
      <c r="B39" t="s">
        <v>40</v>
      </c>
      <c r="G39" s="20">
        <f>(G12*G21*G30)/1000+(G13*G22*G31)/1000+(G13*G23*G32)/1000+(G15*G24*G33)/1000+(G16*G25*G34)/1000+(G17*G26*G35)/1000+(G18*G27*G36)/1000+(G19*G28*G37)/1000</f>
        <v>0</v>
      </c>
      <c r="H39" t="s">
        <v>41</v>
      </c>
      <c r="K39" s="2"/>
    </row>
    <row r="40" spans="2:13">
      <c r="G40" s="1"/>
    </row>
    <row r="41" spans="2:13">
      <c r="B41" s="11" t="s">
        <v>8</v>
      </c>
      <c r="C41" s="11"/>
      <c r="D41" s="11"/>
      <c r="E41" s="11"/>
      <c r="F41" s="11"/>
      <c r="G41" s="12">
        <v>0</v>
      </c>
      <c r="H41" s="11" t="s">
        <v>2</v>
      </c>
    </row>
    <row r="42" spans="2:13">
      <c r="B42" s="11"/>
      <c r="C42" s="11"/>
      <c r="D42" s="11"/>
      <c r="E42" s="11"/>
      <c r="F42" s="11"/>
      <c r="G42" s="12">
        <v>0</v>
      </c>
      <c r="H42" s="11" t="s">
        <v>7</v>
      </c>
    </row>
    <row r="43" spans="2:13">
      <c r="B43" s="11"/>
      <c r="C43" s="11"/>
      <c r="D43" s="11"/>
      <c r="E43" s="11"/>
      <c r="F43" s="11"/>
      <c r="G43" s="12">
        <v>0</v>
      </c>
      <c r="H43" s="11" t="s">
        <v>3</v>
      </c>
    </row>
    <row r="44" spans="2:13">
      <c r="G44" s="6">
        <f>G41+G42+G43/2</f>
        <v>0</v>
      </c>
      <c r="H44" t="s">
        <v>4</v>
      </c>
    </row>
    <row r="46" spans="2:13">
      <c r="B46" s="11" t="s">
        <v>10</v>
      </c>
      <c r="C46" s="11"/>
      <c r="D46" s="11"/>
      <c r="E46" s="11"/>
      <c r="F46" s="11"/>
      <c r="G46" s="12">
        <v>0</v>
      </c>
      <c r="H46" s="11" t="s">
        <v>12</v>
      </c>
    </row>
    <row r="47" spans="2:13">
      <c r="B47" s="11"/>
      <c r="C47" s="11"/>
      <c r="D47" s="11"/>
      <c r="E47" s="11"/>
      <c r="F47" s="11"/>
      <c r="G47" s="12">
        <v>0</v>
      </c>
      <c r="H47" s="11" t="s">
        <v>104</v>
      </c>
    </row>
    <row r="48" spans="2:13">
      <c r="B48" s="11"/>
      <c r="C48" s="11"/>
      <c r="D48" s="11"/>
      <c r="E48" s="11"/>
      <c r="F48" s="11"/>
      <c r="G48" s="12">
        <v>0</v>
      </c>
      <c r="H48" s="11" t="s">
        <v>105</v>
      </c>
    </row>
    <row r="50" spans="2:8">
      <c r="B50" s="11" t="s">
        <v>144</v>
      </c>
      <c r="C50" s="11"/>
      <c r="D50" s="11"/>
      <c r="E50" s="11"/>
      <c r="F50" s="11"/>
      <c r="G50" s="13">
        <v>0</v>
      </c>
      <c r="H50" s="11" t="s">
        <v>107</v>
      </c>
    </row>
    <row r="51" spans="2:8">
      <c r="B51" s="11" t="s">
        <v>15</v>
      </c>
      <c r="C51" s="11"/>
      <c r="D51" s="11"/>
      <c r="E51" s="11"/>
      <c r="F51" s="11"/>
      <c r="G51" s="13">
        <v>0</v>
      </c>
      <c r="H51" s="11" t="s">
        <v>13</v>
      </c>
    </row>
    <row r="52" spans="2:8">
      <c r="B52" s="11" t="s">
        <v>16</v>
      </c>
      <c r="C52" s="11"/>
      <c r="D52" s="11"/>
      <c r="E52" s="11"/>
      <c r="F52" s="11"/>
      <c r="G52" s="13">
        <v>0</v>
      </c>
      <c r="H52" s="11" t="s">
        <v>13</v>
      </c>
    </row>
    <row r="53" spans="2:8">
      <c r="B53" s="11" t="s">
        <v>17</v>
      </c>
      <c r="C53" s="11"/>
      <c r="D53" s="11"/>
      <c r="E53" s="11"/>
      <c r="F53" s="11"/>
      <c r="G53" s="13">
        <v>0</v>
      </c>
      <c r="H53" s="11" t="s">
        <v>13</v>
      </c>
    </row>
    <row r="54" spans="2:8">
      <c r="B54" s="11" t="s">
        <v>18</v>
      </c>
      <c r="C54" s="11"/>
      <c r="D54" s="11"/>
      <c r="E54" s="11"/>
      <c r="F54" s="11"/>
      <c r="G54" s="13">
        <v>0</v>
      </c>
      <c r="H54" s="11" t="s">
        <v>13</v>
      </c>
    </row>
    <row r="56" spans="2:8">
      <c r="B56" t="s">
        <v>95</v>
      </c>
      <c r="G56" s="1">
        <v>10</v>
      </c>
      <c r="H56" t="s">
        <v>5</v>
      </c>
    </row>
    <row r="57" spans="2:8">
      <c r="B57" t="s">
        <v>96</v>
      </c>
      <c r="G57" s="1">
        <v>45</v>
      </c>
      <c r="H57" t="s">
        <v>5</v>
      </c>
    </row>
    <row r="58" spans="2:8">
      <c r="B58" t="s">
        <v>79</v>
      </c>
      <c r="G58" s="1">
        <v>0.1</v>
      </c>
      <c r="H58" t="s">
        <v>82</v>
      </c>
    </row>
    <row r="59" spans="2:8">
      <c r="B59" t="s">
        <v>80</v>
      </c>
      <c r="G59" s="1">
        <v>0.75</v>
      </c>
      <c r="H59" t="s">
        <v>83</v>
      </c>
    </row>
    <row r="60" spans="2:8">
      <c r="B60" t="s">
        <v>97</v>
      </c>
      <c r="G60" s="5">
        <v>35</v>
      </c>
      <c r="H60" t="s">
        <v>81</v>
      </c>
    </row>
    <row r="62" spans="2:8">
      <c r="B62" t="s">
        <v>156</v>
      </c>
      <c r="G62" s="6">
        <f>G41*G46*(G47+G48)/7.5</f>
        <v>0</v>
      </c>
      <c r="H62" t="s">
        <v>11</v>
      </c>
    </row>
    <row r="63" spans="2:8">
      <c r="G63" s="6"/>
    </row>
    <row r="64" spans="2:8">
      <c r="B64" t="s">
        <v>93</v>
      </c>
      <c r="G64" s="2">
        <f>365*G44*G56/1000000*G8</f>
        <v>0</v>
      </c>
      <c r="H64" t="s">
        <v>91</v>
      </c>
    </row>
    <row r="65" spans="2:12">
      <c r="G65" s="2">
        <f>365*G44*G57/1000000*G9</f>
        <v>0</v>
      </c>
      <c r="H65" t="s">
        <v>85</v>
      </c>
    </row>
    <row r="66" spans="2:12">
      <c r="G66" s="2">
        <f>G64+G65</f>
        <v>0</v>
      </c>
      <c r="H66" t="s">
        <v>89</v>
      </c>
    </row>
    <row r="67" spans="2:12">
      <c r="G67" s="7"/>
    </row>
    <row r="68" spans="2:12">
      <c r="B68" t="s">
        <v>86</v>
      </c>
      <c r="G68" s="2">
        <f>G58*365*G60</f>
        <v>1277.5</v>
      </c>
      <c r="H68" t="s">
        <v>84</v>
      </c>
    </row>
    <row r="69" spans="2:12">
      <c r="G69" s="2">
        <f>G59*52*G60</f>
        <v>1365</v>
      </c>
      <c r="H69" t="s">
        <v>87</v>
      </c>
    </row>
    <row r="70" spans="2:12">
      <c r="G70" s="2">
        <f>SUM(G68:G69)</f>
        <v>2642.5</v>
      </c>
      <c r="H70" t="s">
        <v>88</v>
      </c>
    </row>
    <row r="71" spans="2:12">
      <c r="G71" s="7"/>
    </row>
    <row r="72" spans="2:12">
      <c r="B72" t="s">
        <v>90</v>
      </c>
      <c r="G72" s="2">
        <f>G64+G68</f>
        <v>1277.5</v>
      </c>
      <c r="H72" t="s">
        <v>91</v>
      </c>
    </row>
    <row r="73" spans="2:12">
      <c r="G73" s="2" t="e">
        <f>(G72/G62)*100</f>
        <v>#DIV/0!</v>
      </c>
      <c r="H73" t="s">
        <v>98</v>
      </c>
    </row>
    <row r="74" spans="2:12">
      <c r="G74" s="2">
        <f>G65+G69</f>
        <v>1365</v>
      </c>
      <c r="H74" t="s">
        <v>85</v>
      </c>
    </row>
    <row r="75" spans="2:12">
      <c r="G75" s="2" t="e">
        <f>(G74/G62)*100</f>
        <v>#DIV/0!</v>
      </c>
      <c r="H75" t="s">
        <v>99</v>
      </c>
    </row>
    <row r="76" spans="2:12">
      <c r="G76" s="2">
        <f>G72+G74</f>
        <v>2642.5</v>
      </c>
      <c r="H76" t="s">
        <v>92</v>
      </c>
      <c r="K76" s="8" t="e">
        <f>100*G76/(G41*G46*G50/100)</f>
        <v>#DIV/0!</v>
      </c>
      <c r="L76" t="s">
        <v>109</v>
      </c>
    </row>
    <row r="77" spans="2:12">
      <c r="G77" s="2" t="e">
        <f>(G76/G62)*100</f>
        <v>#DIV/0!</v>
      </c>
      <c r="H77" t="s">
        <v>100</v>
      </c>
    </row>
    <row r="78" spans="2:12">
      <c r="G78" s="7"/>
    </row>
    <row r="79" spans="2:12">
      <c r="B79" t="s">
        <v>25</v>
      </c>
      <c r="G79" s="7"/>
    </row>
    <row r="80" spans="2:12">
      <c r="G80" s="6"/>
    </row>
    <row r="81" spans="2:11">
      <c r="B81" t="s">
        <v>24</v>
      </c>
      <c r="G81" s="7" t="e">
        <f>G76/G50*100</f>
        <v>#DIV/0!</v>
      </c>
      <c r="H81" t="s">
        <v>19</v>
      </c>
    </row>
    <row r="82" spans="2:11">
      <c r="G82" s="7" t="e">
        <f>G81/G41</f>
        <v>#DIV/0!</v>
      </c>
      <c r="H82" t="s">
        <v>145</v>
      </c>
    </row>
    <row r="83" spans="2:11">
      <c r="J83" s="7" t="e">
        <f>G82/G46*100</f>
        <v>#DIV/0!</v>
      </c>
      <c r="K83" t="s">
        <v>73</v>
      </c>
    </row>
    <row r="84" spans="2:11">
      <c r="B84" t="s">
        <v>21</v>
      </c>
      <c r="G84" s="7" t="e">
        <f>G66/G51</f>
        <v>#DIV/0!</v>
      </c>
      <c r="H84" t="s">
        <v>27</v>
      </c>
      <c r="I84" t="s">
        <v>26</v>
      </c>
      <c r="J84" s="7" t="e">
        <f>G84/(G43+G84)*100</f>
        <v>#DIV/0!</v>
      </c>
      <c r="K84" t="s">
        <v>67</v>
      </c>
    </row>
    <row r="85" spans="2:11">
      <c r="B85" t="s">
        <v>20</v>
      </c>
      <c r="G85" s="7" t="e">
        <f>G66/G52</f>
        <v>#DIV/0!</v>
      </c>
      <c r="H85" t="s">
        <v>27</v>
      </c>
      <c r="I85" t="s">
        <v>26</v>
      </c>
      <c r="J85" s="7" t="e">
        <f>G85/(G43+G85)*100</f>
        <v>#DIV/0!</v>
      </c>
      <c r="K85" t="s">
        <v>67</v>
      </c>
    </row>
    <row r="86" spans="2:11">
      <c r="B86" t="s">
        <v>22</v>
      </c>
      <c r="G86" s="7" t="e">
        <f>G66/G53</f>
        <v>#DIV/0!</v>
      </c>
      <c r="H86" t="s">
        <v>27</v>
      </c>
      <c r="I86" t="s">
        <v>26</v>
      </c>
      <c r="J86" s="7" t="e">
        <f>G86/(G43+G86)*100</f>
        <v>#DIV/0!</v>
      </c>
      <c r="K86" t="s">
        <v>67</v>
      </c>
    </row>
    <row r="87" spans="2:11">
      <c r="B87" t="s">
        <v>23</v>
      </c>
      <c r="G87" s="7" t="e">
        <f>G66/G54</f>
        <v>#DIV/0!</v>
      </c>
      <c r="H87" t="s">
        <v>27</v>
      </c>
      <c r="I87" t="s">
        <v>26</v>
      </c>
      <c r="J87" s="7" t="e">
        <f>G87/(G41)*100</f>
        <v>#DIV/0!</v>
      </c>
      <c r="K87" t="s">
        <v>67</v>
      </c>
    </row>
    <row r="88" spans="2:11">
      <c r="B88" t="s">
        <v>39</v>
      </c>
      <c r="J88" s="7" t="e">
        <f>G76/G39*100</f>
        <v>#DIV/0!</v>
      </c>
      <c r="K88" s="8" t="s">
        <v>72</v>
      </c>
    </row>
    <row r="89" spans="2:11">
      <c r="B89" t="s">
        <v>74</v>
      </c>
    </row>
    <row r="90" spans="2:11">
      <c r="B90" t="s">
        <v>78</v>
      </c>
    </row>
    <row r="92" spans="2:11">
      <c r="B92" t="s">
        <v>75</v>
      </c>
    </row>
    <row r="93" spans="2:11">
      <c r="B93" t="s">
        <v>50</v>
      </c>
      <c r="C93" s="1">
        <v>5</v>
      </c>
      <c r="D93" t="s">
        <v>57</v>
      </c>
    </row>
    <row r="94" spans="2:11">
      <c r="C94" s="1">
        <v>1</v>
      </c>
      <c r="D94" t="s">
        <v>42</v>
      </c>
    </row>
    <row r="95" spans="2:11">
      <c r="C95" s="1">
        <v>1</v>
      </c>
      <c r="D95" t="s">
        <v>59</v>
      </c>
    </row>
    <row r="96" spans="2:11">
      <c r="C96" s="1">
        <v>1</v>
      </c>
      <c r="D96" t="s">
        <v>43</v>
      </c>
    </row>
    <row r="97" spans="2:12">
      <c r="C97" s="1">
        <v>1</v>
      </c>
      <c r="D97" t="s">
        <v>44</v>
      </c>
    </row>
    <row r="98" spans="2:12">
      <c r="C98" s="1">
        <v>1</v>
      </c>
      <c r="D98" t="s">
        <v>45</v>
      </c>
      <c r="F98" t="s">
        <v>46</v>
      </c>
      <c r="G98">
        <f>(100+C98)*G47/100</f>
        <v>0</v>
      </c>
      <c r="H98" t="s">
        <v>48</v>
      </c>
      <c r="K98">
        <f>G47</f>
        <v>0</v>
      </c>
      <c r="L98" t="s">
        <v>47</v>
      </c>
    </row>
    <row r="99" spans="2:12">
      <c r="C99" s="1">
        <v>1</v>
      </c>
      <c r="D99" t="s">
        <v>49</v>
      </c>
    </row>
    <row r="100" spans="2:12">
      <c r="D100" t="s">
        <v>76</v>
      </c>
    </row>
    <row r="102" spans="2:12">
      <c r="B102" t="s">
        <v>51</v>
      </c>
      <c r="C102" s="3">
        <f>G51*G43*C93/100</f>
        <v>0</v>
      </c>
      <c r="D102" t="s">
        <v>56</v>
      </c>
    </row>
    <row r="103" spans="2:12">
      <c r="C103" s="3">
        <f>G52*G43*C94/100</f>
        <v>0</v>
      </c>
      <c r="D103" t="s">
        <v>52</v>
      </c>
    </row>
    <row r="104" spans="2:12">
      <c r="C104" s="3">
        <f>G53*G43*C95/100</f>
        <v>0</v>
      </c>
      <c r="D104" t="s">
        <v>53</v>
      </c>
    </row>
    <row r="105" spans="2:12">
      <c r="C105" s="3">
        <f>G54*G41*C96/100</f>
        <v>0</v>
      </c>
      <c r="D105" t="s">
        <v>58</v>
      </c>
    </row>
    <row r="106" spans="2:12">
      <c r="C106" s="3">
        <f>C97/100*G62*G50/100</f>
        <v>0</v>
      </c>
      <c r="D106" t="s">
        <v>54</v>
      </c>
    </row>
    <row r="107" spans="2:12">
      <c r="B107" s="1"/>
      <c r="C107" s="3">
        <f>C98/100*G47/100*G46*G41/0.07</f>
        <v>0</v>
      </c>
      <c r="D107" t="s">
        <v>62</v>
      </c>
    </row>
    <row r="108" spans="2:12">
      <c r="C108" s="3">
        <f>C99/100*K39</f>
        <v>0</v>
      </c>
      <c r="D108" t="s">
        <v>55</v>
      </c>
    </row>
    <row r="109" spans="2:12">
      <c r="C109" s="9"/>
    </row>
    <row r="110" spans="2:12">
      <c r="C110" s="3">
        <f>SUM(C102:C108)</f>
        <v>0</v>
      </c>
      <c r="D110" t="s">
        <v>101</v>
      </c>
    </row>
    <row r="111" spans="2:12">
      <c r="C111" s="3" t="e">
        <f>(C110/G62)*100</f>
        <v>#DIV/0!</v>
      </c>
      <c r="D111" t="s">
        <v>102</v>
      </c>
    </row>
    <row r="112" spans="2:12">
      <c r="C112" s="3">
        <f>G76</f>
        <v>2642.5</v>
      </c>
      <c r="D112" t="s">
        <v>94</v>
      </c>
    </row>
    <row r="113" spans="1:5">
      <c r="C113" s="10"/>
    </row>
    <row r="114" spans="1:5">
      <c r="C114" s="3">
        <f>C110-C112</f>
        <v>-2642.5</v>
      </c>
      <c r="D114" t="s">
        <v>71</v>
      </c>
    </row>
    <row r="115" spans="1:5">
      <c r="E115" t="s">
        <v>60</v>
      </c>
    </row>
    <row r="116" spans="1:5">
      <c r="C116" s="3" t="e">
        <f>(C114/G62)*100</f>
        <v>#DIV/0!</v>
      </c>
      <c r="D116" t="s">
        <v>103</v>
      </c>
    </row>
    <row r="117" spans="1:5">
      <c r="C117" s="3"/>
    </row>
    <row r="118" spans="1:5">
      <c r="A118" s="1" t="s">
        <v>68</v>
      </c>
    </row>
    <row r="119" spans="1:5">
      <c r="A119" t="s">
        <v>69</v>
      </c>
    </row>
  </sheetData>
  <pageMargins left="0.7" right="0.7" top="0.75" bottom="0.75" header="0.3" footer="0.3"/>
  <pageSetup paperSize="9" scale="65" orientation="landscape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04C7F-53AD-5F41-8707-0226DDAA4701}">
  <dimension ref="A1:M119"/>
  <sheetViews>
    <sheetView topLeftCell="A102" zoomScale="142" zoomScaleNormal="142" workbookViewId="0">
      <selection activeCell="G62" sqref="G62"/>
    </sheetView>
  </sheetViews>
  <sheetFormatPr defaultColWidth="11" defaultRowHeight="15.75"/>
  <cols>
    <col min="3" max="3" width="12.125" customWidth="1"/>
    <col min="7" max="7" width="11.625" bestFit="1" customWidth="1"/>
    <col min="8" max="8" width="18.25" customWidth="1"/>
  </cols>
  <sheetData>
    <row r="1" spans="1:8" ht="26.25">
      <c r="A1" s="4"/>
    </row>
    <row r="2" spans="1:8" ht="26.25">
      <c r="A2" s="4" t="s">
        <v>61</v>
      </c>
    </row>
    <row r="3" spans="1:8" ht="26.25">
      <c r="A3" s="4"/>
    </row>
    <row r="4" spans="1:8" ht="26.25">
      <c r="A4" s="4"/>
    </row>
    <row r="5" spans="1:8" ht="26.25">
      <c r="A5" s="4"/>
      <c r="B5" s="11" t="s">
        <v>9</v>
      </c>
      <c r="C5" s="11"/>
      <c r="D5" s="11"/>
      <c r="E5" s="11"/>
      <c r="F5" s="11"/>
      <c r="G5" s="11" t="s">
        <v>154</v>
      </c>
      <c r="H5" s="11"/>
    </row>
    <row r="8" spans="1:8">
      <c r="B8" t="s">
        <v>0</v>
      </c>
      <c r="G8" s="5">
        <v>420</v>
      </c>
      <c r="H8" t="s">
        <v>6</v>
      </c>
    </row>
    <row r="9" spans="1:8">
      <c r="B9" t="s">
        <v>1</v>
      </c>
      <c r="G9" s="5">
        <v>399</v>
      </c>
      <c r="H9" t="s">
        <v>6</v>
      </c>
    </row>
    <row r="10" spans="1:8">
      <c r="G10" s="1"/>
    </row>
    <row r="11" spans="1:8">
      <c r="B11" s="12" t="s">
        <v>28</v>
      </c>
      <c r="C11" s="11"/>
      <c r="D11" s="11"/>
      <c r="E11" s="11"/>
      <c r="F11" s="11"/>
      <c r="G11" s="12"/>
      <c r="H11" s="11"/>
    </row>
    <row r="12" spans="1:8">
      <c r="B12" s="11" t="s">
        <v>29</v>
      </c>
      <c r="C12" s="11"/>
      <c r="D12" s="11"/>
      <c r="E12" s="11"/>
      <c r="F12" s="11"/>
      <c r="G12" s="12">
        <v>30</v>
      </c>
      <c r="H12" s="11" t="s">
        <v>30</v>
      </c>
    </row>
    <row r="13" spans="1:8">
      <c r="B13" s="11" t="s">
        <v>136</v>
      </c>
      <c r="C13" s="11"/>
      <c r="D13" s="11"/>
      <c r="E13" s="11"/>
      <c r="F13" s="11"/>
      <c r="G13" s="12">
        <v>5</v>
      </c>
      <c r="H13" s="11" t="s">
        <v>30</v>
      </c>
    </row>
    <row r="14" spans="1:8">
      <c r="B14" s="11" t="s">
        <v>63</v>
      </c>
      <c r="C14" s="11"/>
      <c r="D14" s="11"/>
      <c r="E14" s="11"/>
      <c r="F14" s="11"/>
      <c r="G14" s="12">
        <v>0</v>
      </c>
      <c r="H14" s="11" t="s">
        <v>30</v>
      </c>
    </row>
    <row r="15" spans="1:8">
      <c r="B15" s="11" t="s">
        <v>64</v>
      </c>
      <c r="C15" s="11"/>
      <c r="D15" s="11"/>
      <c r="E15" s="11"/>
      <c r="F15" s="11"/>
      <c r="G15" s="12">
        <v>0</v>
      </c>
      <c r="H15" s="11" t="s">
        <v>30</v>
      </c>
    </row>
    <row r="16" spans="1:8">
      <c r="B16" s="11" t="s">
        <v>137</v>
      </c>
      <c r="C16" s="11"/>
      <c r="D16" s="11"/>
      <c r="E16" s="11"/>
      <c r="F16" s="11"/>
      <c r="G16" s="12">
        <v>0</v>
      </c>
      <c r="H16" s="11" t="s">
        <v>30</v>
      </c>
    </row>
    <row r="17" spans="2:13">
      <c r="B17" s="11" t="s">
        <v>33</v>
      </c>
      <c r="C17" s="11"/>
      <c r="D17" s="11"/>
      <c r="E17" s="11"/>
      <c r="F17" s="11"/>
      <c r="G17" s="12">
        <v>0</v>
      </c>
      <c r="H17" s="11" t="s">
        <v>30</v>
      </c>
      <c r="I17" s="11" t="s">
        <v>146</v>
      </c>
      <c r="J17" s="11"/>
      <c r="K17" s="11"/>
      <c r="L17" s="11"/>
      <c r="M17" s="11"/>
    </row>
    <row r="18" spans="2:13">
      <c r="B18" s="11" t="s">
        <v>33</v>
      </c>
      <c r="C18" s="11"/>
      <c r="D18" s="11"/>
      <c r="E18" s="11"/>
      <c r="F18" s="11"/>
      <c r="G18" s="12">
        <v>0</v>
      </c>
      <c r="H18" s="11" t="s">
        <v>30</v>
      </c>
      <c r="I18" s="11" t="s">
        <v>146</v>
      </c>
      <c r="J18" s="11"/>
      <c r="K18" s="11"/>
      <c r="L18" s="11"/>
      <c r="M18" s="11"/>
    </row>
    <row r="19" spans="2:13">
      <c r="B19" s="11" t="s">
        <v>33</v>
      </c>
      <c r="C19" s="11"/>
      <c r="D19" s="11"/>
      <c r="E19" s="11"/>
      <c r="F19" s="11"/>
      <c r="G19" s="12">
        <v>0</v>
      </c>
      <c r="H19" s="11" t="s">
        <v>30</v>
      </c>
      <c r="I19" s="11" t="s">
        <v>146</v>
      </c>
      <c r="J19" s="11"/>
      <c r="K19" s="11"/>
      <c r="L19" s="11"/>
      <c r="M19" s="11"/>
    </row>
    <row r="20" spans="2:13">
      <c r="G20" s="1"/>
    </row>
    <row r="21" spans="2:13">
      <c r="B21" s="11" t="s">
        <v>31</v>
      </c>
      <c r="C21" s="11"/>
      <c r="D21" s="11"/>
      <c r="E21" s="11"/>
      <c r="F21" s="11"/>
      <c r="G21" s="12">
        <v>11500</v>
      </c>
      <c r="H21" s="11" t="s">
        <v>32</v>
      </c>
    </row>
    <row r="22" spans="2:13">
      <c r="B22" s="11"/>
      <c r="C22" s="11"/>
      <c r="D22" s="11"/>
      <c r="E22" s="11"/>
      <c r="F22" s="11"/>
      <c r="G22" s="12">
        <v>5000</v>
      </c>
      <c r="H22" s="11" t="s">
        <v>110</v>
      </c>
    </row>
    <row r="23" spans="2:13">
      <c r="B23" s="11"/>
      <c r="C23" s="11"/>
      <c r="D23" s="11"/>
      <c r="E23" s="11"/>
      <c r="F23" s="11"/>
      <c r="G23" s="12">
        <v>0</v>
      </c>
      <c r="H23" s="11" t="s">
        <v>65</v>
      </c>
    </row>
    <row r="24" spans="2:13">
      <c r="B24" s="11"/>
      <c r="C24" s="11"/>
      <c r="D24" s="11"/>
      <c r="E24" s="11"/>
      <c r="F24" s="11"/>
      <c r="G24" s="12">
        <v>0</v>
      </c>
      <c r="H24" s="11" t="s">
        <v>66</v>
      </c>
    </row>
    <row r="25" spans="2:13">
      <c r="B25" s="11"/>
      <c r="C25" s="11"/>
      <c r="D25" s="11"/>
      <c r="E25" s="11"/>
      <c r="F25" s="11"/>
      <c r="G25" s="12">
        <v>0</v>
      </c>
      <c r="H25" s="11" t="s">
        <v>138</v>
      </c>
    </row>
    <row r="26" spans="2:13">
      <c r="B26" s="11"/>
      <c r="C26" s="11"/>
      <c r="D26" s="11"/>
      <c r="E26" s="11"/>
      <c r="F26" s="11"/>
      <c r="G26" s="12">
        <v>0</v>
      </c>
      <c r="H26" s="11" t="s">
        <v>34</v>
      </c>
      <c r="I26" s="11" t="s">
        <v>108</v>
      </c>
      <c r="J26" s="11"/>
      <c r="K26" s="11"/>
      <c r="L26" s="11"/>
      <c r="M26" s="11"/>
    </row>
    <row r="27" spans="2:13">
      <c r="B27" s="11"/>
      <c r="C27" s="11"/>
      <c r="D27" s="11"/>
      <c r="E27" s="11"/>
      <c r="F27" s="11"/>
      <c r="G27" s="12">
        <v>0</v>
      </c>
      <c r="H27" s="11" t="s">
        <v>34</v>
      </c>
      <c r="I27" s="11" t="s">
        <v>108</v>
      </c>
      <c r="J27" s="11"/>
      <c r="K27" s="11"/>
      <c r="L27" s="11"/>
      <c r="M27" s="11"/>
    </row>
    <row r="28" spans="2:13">
      <c r="B28" s="11"/>
      <c r="C28" s="11"/>
      <c r="D28" s="11"/>
      <c r="E28" s="11"/>
      <c r="F28" s="11"/>
      <c r="G28" s="12">
        <v>0</v>
      </c>
      <c r="H28" s="11" t="s">
        <v>34</v>
      </c>
      <c r="I28" s="11" t="s">
        <v>108</v>
      </c>
      <c r="J28" s="11"/>
      <c r="K28" s="11"/>
      <c r="L28" s="11"/>
      <c r="M28" s="11"/>
    </row>
    <row r="29" spans="2:13">
      <c r="G29" s="1"/>
    </row>
    <row r="30" spans="2:13">
      <c r="B30" t="s">
        <v>35</v>
      </c>
      <c r="G30" s="5">
        <v>234</v>
      </c>
      <c r="H30" t="s">
        <v>36</v>
      </c>
    </row>
    <row r="31" spans="2:13">
      <c r="G31" s="5">
        <v>400</v>
      </c>
      <c r="H31" t="s">
        <v>111</v>
      </c>
    </row>
    <row r="32" spans="2:13">
      <c r="G32" s="5">
        <v>0</v>
      </c>
      <c r="H32" t="s">
        <v>70</v>
      </c>
    </row>
    <row r="33" spans="2:13">
      <c r="G33" s="5">
        <v>0</v>
      </c>
      <c r="H33" t="s">
        <v>149</v>
      </c>
    </row>
    <row r="34" spans="2:13">
      <c r="G34" s="5">
        <v>0</v>
      </c>
      <c r="H34" t="s">
        <v>150</v>
      </c>
    </row>
    <row r="35" spans="2:13">
      <c r="G35" s="5">
        <v>0</v>
      </c>
      <c r="H35" t="s">
        <v>38</v>
      </c>
      <c r="I35" s="11" t="s">
        <v>108</v>
      </c>
      <c r="J35" s="11"/>
      <c r="K35" s="11"/>
      <c r="L35" s="11"/>
      <c r="M35" s="11"/>
    </row>
    <row r="36" spans="2:13">
      <c r="G36" s="5">
        <v>0</v>
      </c>
      <c r="H36" t="s">
        <v>38</v>
      </c>
      <c r="I36" s="11" t="s">
        <v>108</v>
      </c>
      <c r="J36" s="11"/>
      <c r="K36" s="11"/>
      <c r="L36" s="11"/>
      <c r="M36" s="11"/>
    </row>
    <row r="37" spans="2:13">
      <c r="G37" s="5">
        <v>0</v>
      </c>
      <c r="H37" t="s">
        <v>38</v>
      </c>
      <c r="I37" s="11" t="s">
        <v>108</v>
      </c>
      <c r="J37" s="11"/>
      <c r="K37" s="11"/>
      <c r="L37" s="11"/>
      <c r="M37" s="11"/>
    </row>
    <row r="38" spans="2:13">
      <c r="G38" s="1"/>
    </row>
    <row r="39" spans="2:13">
      <c r="B39" t="s">
        <v>40</v>
      </c>
      <c r="G39" s="2">
        <f>(G12*G21*G30)/1000+(G13*G22*G31)/1000+(G14*G23*G32)/1000+(G15*G24*G33)/1000+(G16*G25*G34)/1000+(G17*G26*G35)/1000+(G18*G27*G36)/1000+(G19*G28*G37)/1000</f>
        <v>90730</v>
      </c>
      <c r="H39" t="s">
        <v>41</v>
      </c>
    </row>
    <row r="40" spans="2:13">
      <c r="G40" s="1"/>
    </row>
    <row r="41" spans="2:13">
      <c r="B41" s="11" t="s">
        <v>8</v>
      </c>
      <c r="C41" s="11"/>
      <c r="D41" s="11"/>
      <c r="E41" s="11"/>
      <c r="F41" s="11"/>
      <c r="G41" s="12">
        <v>600</v>
      </c>
      <c r="H41" s="11" t="s">
        <v>2</v>
      </c>
    </row>
    <row r="42" spans="2:13">
      <c r="B42" s="11"/>
      <c r="C42" s="11"/>
      <c r="D42" s="11"/>
      <c r="E42" s="11"/>
      <c r="F42" s="11"/>
      <c r="G42" s="12">
        <v>6</v>
      </c>
      <c r="H42" s="11" t="s">
        <v>7</v>
      </c>
    </row>
    <row r="43" spans="2:13">
      <c r="B43" s="11"/>
      <c r="C43" s="11"/>
      <c r="D43" s="11"/>
      <c r="E43" s="11"/>
      <c r="F43" s="11"/>
      <c r="G43" s="12">
        <v>150</v>
      </c>
      <c r="H43" s="11" t="s">
        <v>3</v>
      </c>
    </row>
    <row r="44" spans="2:13">
      <c r="G44" s="6">
        <f>G41+G42+G43/2</f>
        <v>681</v>
      </c>
      <c r="H44" t="s">
        <v>4</v>
      </c>
    </row>
    <row r="46" spans="2:13">
      <c r="B46" s="11" t="s">
        <v>10</v>
      </c>
      <c r="C46" s="11"/>
      <c r="D46" s="11"/>
      <c r="E46" s="11"/>
      <c r="F46" s="11"/>
      <c r="G46" s="12">
        <v>1000</v>
      </c>
      <c r="H46" s="11" t="s">
        <v>12</v>
      </c>
    </row>
    <row r="47" spans="2:13">
      <c r="B47" s="11"/>
      <c r="C47" s="11"/>
      <c r="D47" s="11"/>
      <c r="E47" s="11"/>
      <c r="F47" s="11"/>
      <c r="G47" s="12">
        <v>3.8</v>
      </c>
      <c r="H47" s="11" t="s">
        <v>104</v>
      </c>
    </row>
    <row r="48" spans="2:13">
      <c r="B48" s="11"/>
      <c r="C48" s="11"/>
      <c r="D48" s="11"/>
      <c r="E48" s="11"/>
      <c r="F48" s="11"/>
      <c r="G48" s="12">
        <v>3.2</v>
      </c>
      <c r="H48" s="11" t="s">
        <v>105</v>
      </c>
    </row>
    <row r="50" spans="2:8">
      <c r="B50" s="11" t="s">
        <v>106</v>
      </c>
      <c r="C50" s="11"/>
      <c r="D50" s="11"/>
      <c r="E50" s="11"/>
      <c r="F50" s="11"/>
      <c r="G50" s="13">
        <v>100</v>
      </c>
      <c r="H50" s="11" t="s">
        <v>77</v>
      </c>
    </row>
    <row r="51" spans="2:8">
      <c r="B51" s="11" t="s">
        <v>15</v>
      </c>
      <c r="C51" s="11"/>
      <c r="D51" s="11"/>
      <c r="E51" s="11"/>
      <c r="F51" s="11"/>
      <c r="G51" s="13">
        <v>100</v>
      </c>
      <c r="H51" s="11" t="s">
        <v>13</v>
      </c>
    </row>
    <row r="52" spans="2:8">
      <c r="B52" s="11" t="s">
        <v>16</v>
      </c>
      <c r="C52" s="11"/>
      <c r="D52" s="11"/>
      <c r="E52" s="11"/>
      <c r="F52" s="11"/>
      <c r="G52" s="13">
        <v>300</v>
      </c>
      <c r="H52" s="11" t="s">
        <v>13</v>
      </c>
    </row>
    <row r="53" spans="2:8">
      <c r="B53" s="11" t="s">
        <v>17</v>
      </c>
      <c r="C53" s="11"/>
      <c r="D53" s="11"/>
      <c r="E53" s="11"/>
      <c r="F53" s="11"/>
      <c r="G53" s="13">
        <v>500</v>
      </c>
      <c r="H53" s="11" t="s">
        <v>13</v>
      </c>
    </row>
    <row r="54" spans="2:8">
      <c r="B54" s="11" t="s">
        <v>18</v>
      </c>
      <c r="C54" s="11"/>
      <c r="D54" s="11"/>
      <c r="E54" s="11"/>
      <c r="F54" s="11"/>
      <c r="G54" s="13">
        <v>300</v>
      </c>
      <c r="H54" s="11" t="s">
        <v>13</v>
      </c>
    </row>
    <row r="56" spans="2:8">
      <c r="B56" t="s">
        <v>95</v>
      </c>
      <c r="G56" s="1">
        <v>10</v>
      </c>
      <c r="H56" t="s">
        <v>5</v>
      </c>
    </row>
    <row r="57" spans="2:8">
      <c r="B57" t="s">
        <v>96</v>
      </c>
      <c r="G57" s="1">
        <v>45</v>
      </c>
      <c r="H57" t="s">
        <v>5</v>
      </c>
    </row>
    <row r="58" spans="2:8">
      <c r="B58" t="s">
        <v>79</v>
      </c>
      <c r="G58" s="1">
        <v>0.1</v>
      </c>
      <c r="H58" t="s">
        <v>82</v>
      </c>
    </row>
    <row r="59" spans="2:8">
      <c r="B59" t="s">
        <v>80</v>
      </c>
      <c r="G59" s="1">
        <v>0.5</v>
      </c>
      <c r="H59" t="s">
        <v>83</v>
      </c>
    </row>
    <row r="60" spans="2:8">
      <c r="B60" t="s">
        <v>97</v>
      </c>
      <c r="G60" s="5">
        <v>35</v>
      </c>
      <c r="H60" t="s">
        <v>81</v>
      </c>
    </row>
    <row r="62" spans="2:8">
      <c r="B62" t="s">
        <v>14</v>
      </c>
      <c r="G62" s="6">
        <f>G41*G46*(G47+G48)/7</f>
        <v>600000</v>
      </c>
      <c r="H62" t="s">
        <v>11</v>
      </c>
    </row>
    <row r="63" spans="2:8">
      <c r="G63" s="6"/>
    </row>
    <row r="64" spans="2:8">
      <c r="B64" t="s">
        <v>93</v>
      </c>
      <c r="G64" s="2">
        <f>365*G44*G56/1000000*G8</f>
        <v>1043.973</v>
      </c>
      <c r="H64" t="s">
        <v>91</v>
      </c>
    </row>
    <row r="65" spans="2:12">
      <c r="G65" s="2">
        <f>365*G44*G57/1000000*G9</f>
        <v>4462.9845750000004</v>
      </c>
      <c r="H65" t="s">
        <v>85</v>
      </c>
    </row>
    <row r="66" spans="2:12">
      <c r="G66" s="2">
        <f>G64+G65</f>
        <v>5506.9575750000004</v>
      </c>
      <c r="H66" t="s">
        <v>89</v>
      </c>
    </row>
    <row r="67" spans="2:12">
      <c r="G67" s="7"/>
    </row>
    <row r="68" spans="2:12">
      <c r="B68" t="s">
        <v>86</v>
      </c>
      <c r="G68" s="2">
        <f>G58*365*G60</f>
        <v>1277.5</v>
      </c>
      <c r="H68" t="s">
        <v>84</v>
      </c>
    </row>
    <row r="69" spans="2:12">
      <c r="G69" s="2">
        <f>G59*52*G60</f>
        <v>910</v>
      </c>
      <c r="H69" t="s">
        <v>87</v>
      </c>
    </row>
    <row r="70" spans="2:12">
      <c r="G70" s="2">
        <f>SUM(G68:G69)</f>
        <v>2187.5</v>
      </c>
      <c r="H70" t="s">
        <v>88</v>
      </c>
    </row>
    <row r="71" spans="2:12">
      <c r="G71" s="7"/>
    </row>
    <row r="72" spans="2:12">
      <c r="B72" t="s">
        <v>90</v>
      </c>
      <c r="G72" s="2">
        <f>G64+G68</f>
        <v>2321.473</v>
      </c>
      <c r="H72" t="s">
        <v>91</v>
      </c>
    </row>
    <row r="73" spans="2:12">
      <c r="G73" s="2">
        <f>(G72/G62)*100</f>
        <v>0.38691216666666667</v>
      </c>
      <c r="H73" t="s">
        <v>98</v>
      </c>
    </row>
    <row r="74" spans="2:12">
      <c r="G74" s="2">
        <f>G65+G69</f>
        <v>5372.9845750000004</v>
      </c>
      <c r="H74" t="s">
        <v>85</v>
      </c>
    </row>
    <row r="75" spans="2:12">
      <c r="G75" s="2">
        <f>(G74/G62)*100</f>
        <v>0.89549742916666675</v>
      </c>
      <c r="H75" t="s">
        <v>99</v>
      </c>
    </row>
    <row r="76" spans="2:12">
      <c r="G76" s="2">
        <f>G72+G74</f>
        <v>7694.4575750000004</v>
      </c>
      <c r="H76" t="s">
        <v>92</v>
      </c>
      <c r="K76" s="21">
        <f>G76/G62*100</f>
        <v>1.2824095958333332</v>
      </c>
      <c r="L76" t="s">
        <v>109</v>
      </c>
    </row>
    <row r="77" spans="2:12">
      <c r="G77" s="2">
        <f>(G76/G62)*100</f>
        <v>1.2824095958333332</v>
      </c>
      <c r="H77" t="s">
        <v>100</v>
      </c>
    </row>
    <row r="78" spans="2:12">
      <c r="G78" s="7"/>
    </row>
    <row r="79" spans="2:12">
      <c r="B79" t="s">
        <v>25</v>
      </c>
      <c r="G79" s="7"/>
    </row>
    <row r="80" spans="2:12">
      <c r="G80" s="6"/>
    </row>
    <row r="81" spans="2:11">
      <c r="B81" t="s">
        <v>24</v>
      </c>
      <c r="G81" s="7">
        <f>G76/100*100</f>
        <v>7694.4575749999995</v>
      </c>
      <c r="H81" t="s">
        <v>19</v>
      </c>
    </row>
    <row r="82" spans="2:11">
      <c r="G82" s="7">
        <f>G81/G41</f>
        <v>12.824095958333332</v>
      </c>
      <c r="H82" t="s">
        <v>145</v>
      </c>
    </row>
    <row r="83" spans="2:11">
      <c r="J83" s="7">
        <f>G82/G46*100</f>
        <v>1.2824095958333332</v>
      </c>
      <c r="K83" t="s">
        <v>73</v>
      </c>
    </row>
    <row r="84" spans="2:11">
      <c r="B84" t="s">
        <v>21</v>
      </c>
      <c r="G84" s="7">
        <f>G76/G51</f>
        <v>76.944575749999998</v>
      </c>
      <c r="H84" t="s">
        <v>27</v>
      </c>
      <c r="I84" t="s">
        <v>26</v>
      </c>
      <c r="J84" s="7">
        <f>G84/(G43+G84)*100</f>
        <v>33.904567005276839</v>
      </c>
      <c r="K84" t="s">
        <v>67</v>
      </c>
    </row>
    <row r="85" spans="2:11">
      <c r="B85" t="s">
        <v>20</v>
      </c>
      <c r="G85" s="7">
        <f>G76/G52</f>
        <v>25.648191916666669</v>
      </c>
      <c r="H85" t="s">
        <v>27</v>
      </c>
      <c r="I85" t="s">
        <v>26</v>
      </c>
      <c r="J85" s="7">
        <f>G85/(G43+G85)*100</f>
        <v>14.602024442605718</v>
      </c>
      <c r="K85" t="s">
        <v>67</v>
      </c>
    </row>
    <row r="86" spans="2:11">
      <c r="B86" t="s">
        <v>22</v>
      </c>
      <c r="G86" s="7">
        <f>G76/G53</f>
        <v>15.388915150000001</v>
      </c>
      <c r="H86" t="s">
        <v>27</v>
      </c>
      <c r="I86" t="s">
        <v>26</v>
      </c>
      <c r="J86" s="7">
        <f>G86/(G43+G86)*100</f>
        <v>9.3046835309627465</v>
      </c>
      <c r="K86" t="s">
        <v>67</v>
      </c>
    </row>
    <row r="87" spans="2:11">
      <c r="B87" t="s">
        <v>23</v>
      </c>
      <c r="G87" s="7">
        <f>G76/G54</f>
        <v>25.648191916666669</v>
      </c>
      <c r="H87" t="s">
        <v>27</v>
      </c>
      <c r="I87" t="s">
        <v>26</v>
      </c>
      <c r="J87" s="7">
        <f>G87/(G41)*100</f>
        <v>4.2746986527777784</v>
      </c>
      <c r="K87" t="s">
        <v>67</v>
      </c>
    </row>
    <row r="88" spans="2:11">
      <c r="B88" t="s">
        <v>39</v>
      </c>
      <c r="J88" s="7">
        <f>G76/G39*100</f>
        <v>8.4806101344648965</v>
      </c>
      <c r="K88" s="8" t="s">
        <v>72</v>
      </c>
    </row>
    <row r="89" spans="2:11">
      <c r="B89" t="s">
        <v>74</v>
      </c>
    </row>
    <row r="90" spans="2:11">
      <c r="B90" t="s">
        <v>78</v>
      </c>
    </row>
    <row r="92" spans="2:11">
      <c r="B92" t="s">
        <v>75</v>
      </c>
    </row>
    <row r="93" spans="2:11">
      <c r="B93" t="s">
        <v>50</v>
      </c>
      <c r="C93" s="1">
        <v>5</v>
      </c>
      <c r="D93" t="s">
        <v>57</v>
      </c>
    </row>
    <row r="94" spans="2:11">
      <c r="C94" s="1">
        <v>1</v>
      </c>
      <c r="D94" t="s">
        <v>42</v>
      </c>
    </row>
    <row r="95" spans="2:11">
      <c r="C95" s="1">
        <v>1</v>
      </c>
      <c r="D95" t="s">
        <v>59</v>
      </c>
    </row>
    <row r="96" spans="2:11">
      <c r="C96" s="1">
        <v>1</v>
      </c>
      <c r="D96" t="s">
        <v>43</v>
      </c>
    </row>
    <row r="97" spans="2:12">
      <c r="C97" s="1">
        <v>1</v>
      </c>
      <c r="D97" t="s">
        <v>44</v>
      </c>
    </row>
    <row r="98" spans="2:12">
      <c r="C98" s="1">
        <v>1</v>
      </c>
      <c r="D98" t="s">
        <v>45</v>
      </c>
      <c r="F98" t="s">
        <v>46</v>
      </c>
      <c r="G98">
        <f>(100+C98)*G47/100</f>
        <v>3.8379999999999996</v>
      </c>
      <c r="H98" t="s">
        <v>48</v>
      </c>
      <c r="K98">
        <f>G47</f>
        <v>3.8</v>
      </c>
      <c r="L98" t="s">
        <v>47</v>
      </c>
    </row>
    <row r="99" spans="2:12">
      <c r="C99" s="1">
        <v>1</v>
      </c>
      <c r="D99" t="s">
        <v>49</v>
      </c>
    </row>
    <row r="100" spans="2:12">
      <c r="D100" t="s">
        <v>76</v>
      </c>
    </row>
    <row r="102" spans="2:12">
      <c r="B102" t="s">
        <v>51</v>
      </c>
      <c r="C102" s="3">
        <f>G51*G43*C93/100</f>
        <v>750</v>
      </c>
      <c r="D102" t="s">
        <v>56</v>
      </c>
    </row>
    <row r="103" spans="2:12">
      <c r="C103" s="3">
        <f>G52*G43*C94/100</f>
        <v>450</v>
      </c>
      <c r="D103" t="s">
        <v>52</v>
      </c>
    </row>
    <row r="104" spans="2:12">
      <c r="C104" s="3">
        <f>G53*G43*C95/100</f>
        <v>750</v>
      </c>
      <c r="D104" t="s">
        <v>53</v>
      </c>
    </row>
    <row r="105" spans="2:12">
      <c r="C105" s="3">
        <f>G54*G41*C96/100</f>
        <v>1800</v>
      </c>
      <c r="D105" t="s">
        <v>58</v>
      </c>
    </row>
    <row r="106" spans="2:12">
      <c r="C106" s="3">
        <f>C97/100*G62*G50/100</f>
        <v>6000</v>
      </c>
      <c r="D106" t="s">
        <v>54</v>
      </c>
    </row>
    <row r="107" spans="2:12">
      <c r="B107" s="1"/>
      <c r="C107" s="3">
        <f>C98/100*G47/100*G46*G41/0.07</f>
        <v>3257.1428571428564</v>
      </c>
      <c r="D107" t="s">
        <v>62</v>
      </c>
    </row>
    <row r="108" spans="2:12">
      <c r="C108" s="3">
        <f>C99/100*G39</f>
        <v>907.30000000000007</v>
      </c>
      <c r="D108" t="s">
        <v>55</v>
      </c>
    </row>
    <row r="109" spans="2:12">
      <c r="C109" s="9"/>
    </row>
    <row r="110" spans="2:12">
      <c r="C110" s="3">
        <f>SUM(C102:C108)</f>
        <v>13914.442857142856</v>
      </c>
      <c r="D110" t="s">
        <v>101</v>
      </c>
    </row>
    <row r="111" spans="2:12">
      <c r="C111" s="3">
        <f>(C110/G62)*100</f>
        <v>2.3190738095238093</v>
      </c>
      <c r="D111" t="s">
        <v>102</v>
      </c>
    </row>
    <row r="112" spans="2:12">
      <c r="C112" s="3">
        <f>G76</f>
        <v>7694.4575750000004</v>
      </c>
      <c r="D112" t="s">
        <v>94</v>
      </c>
    </row>
    <row r="113" spans="1:5">
      <c r="C113" s="10"/>
    </row>
    <row r="114" spans="1:5">
      <c r="C114" s="3">
        <f>C110-C112</f>
        <v>6219.9852821428558</v>
      </c>
      <c r="D114" t="s">
        <v>71</v>
      </c>
    </row>
    <row r="115" spans="1:5">
      <c r="E115" t="s">
        <v>60</v>
      </c>
    </row>
    <row r="116" spans="1:5">
      <c r="C116" s="3">
        <f>(C114/G62)*100</f>
        <v>1.0366642136904758</v>
      </c>
      <c r="D116" t="s">
        <v>103</v>
      </c>
    </row>
    <row r="117" spans="1:5">
      <c r="C117" s="3"/>
    </row>
    <row r="118" spans="1:5">
      <c r="A118" s="1" t="s">
        <v>68</v>
      </c>
    </row>
    <row r="119" spans="1:5">
      <c r="A119" t="s">
        <v>69</v>
      </c>
    </row>
  </sheetData>
  <pageMargins left="0.7" right="0.7" top="0.75" bottom="0.75" header="0.3" footer="0.3"/>
  <pageSetup paperSize="9" scale="65" orientation="landscape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D735-7458-4931-8334-6DE30012847C}">
  <dimension ref="A1:M119"/>
  <sheetViews>
    <sheetView topLeftCell="A96" zoomScale="142" zoomScaleNormal="142" workbookViewId="0">
      <selection activeCell="G62" sqref="G62"/>
    </sheetView>
  </sheetViews>
  <sheetFormatPr defaultColWidth="11" defaultRowHeight="15.75"/>
  <cols>
    <col min="3" max="3" width="11.625" bestFit="1" customWidth="1"/>
    <col min="7" max="7" width="19.25" bestFit="1" customWidth="1"/>
    <col min="8" max="8" width="19.625" customWidth="1"/>
    <col min="10" max="10" width="16.75" customWidth="1"/>
    <col min="11" max="11" width="13.5" customWidth="1"/>
  </cols>
  <sheetData>
    <row r="1" spans="1:13" ht="26.25">
      <c r="A1" s="4"/>
    </row>
    <row r="2" spans="1:13" ht="26.25">
      <c r="A2" s="4" t="s">
        <v>61</v>
      </c>
    </row>
    <row r="3" spans="1:13" ht="26.25">
      <c r="A3" s="4"/>
    </row>
    <row r="4" spans="1:13" ht="26.25">
      <c r="A4" s="4"/>
    </row>
    <row r="5" spans="1:13" ht="26.25">
      <c r="A5" s="4"/>
      <c r="B5" s="11" t="s">
        <v>9</v>
      </c>
      <c r="C5" s="11"/>
      <c r="D5" s="11"/>
      <c r="E5" s="11"/>
      <c r="F5" s="11"/>
      <c r="G5" s="11" t="s">
        <v>155</v>
      </c>
      <c r="H5" s="11"/>
    </row>
    <row r="8" spans="1:13">
      <c r="B8" t="s">
        <v>147</v>
      </c>
      <c r="G8" s="5">
        <v>420</v>
      </c>
      <c r="H8" t="s">
        <v>6</v>
      </c>
    </row>
    <row r="9" spans="1:13">
      <c r="B9" t="s">
        <v>148</v>
      </c>
      <c r="G9" s="5">
        <v>399</v>
      </c>
      <c r="H9" t="s">
        <v>6</v>
      </c>
    </row>
    <row r="10" spans="1:13">
      <c r="G10" s="1"/>
    </row>
    <row r="11" spans="1:13">
      <c r="B11" s="12" t="s">
        <v>28</v>
      </c>
      <c r="C11" s="11"/>
      <c r="D11" s="11"/>
      <c r="E11" s="11"/>
      <c r="F11" s="11"/>
      <c r="G11" s="12"/>
      <c r="H11" s="11"/>
    </row>
    <row r="12" spans="1:13">
      <c r="B12" s="11" t="s">
        <v>29</v>
      </c>
      <c r="C12" s="11"/>
      <c r="D12" s="11"/>
      <c r="E12" s="11"/>
      <c r="F12" s="11"/>
      <c r="G12" s="12">
        <v>35</v>
      </c>
      <c r="H12" s="11" t="s">
        <v>30</v>
      </c>
    </row>
    <row r="13" spans="1:13">
      <c r="B13" s="11" t="s">
        <v>136</v>
      </c>
      <c r="C13" s="11"/>
      <c r="D13" s="11"/>
      <c r="E13" s="11"/>
      <c r="F13" s="11"/>
      <c r="G13" s="12">
        <v>7</v>
      </c>
      <c r="H13" s="11" t="s">
        <v>30</v>
      </c>
    </row>
    <row r="14" spans="1:13">
      <c r="B14" s="11" t="s">
        <v>64</v>
      </c>
      <c r="C14" s="11"/>
      <c r="D14" s="11"/>
      <c r="E14" s="11"/>
      <c r="F14" s="11"/>
      <c r="G14" s="12">
        <v>0</v>
      </c>
      <c r="H14" s="11" t="s">
        <v>30</v>
      </c>
    </row>
    <row r="15" spans="1:13">
      <c r="B15" s="11" t="s">
        <v>137</v>
      </c>
      <c r="C15" s="11"/>
      <c r="D15" s="11"/>
      <c r="E15" s="11"/>
      <c r="F15" s="11"/>
      <c r="G15" s="12">
        <v>0</v>
      </c>
      <c r="H15" s="11" t="s">
        <v>30</v>
      </c>
    </row>
    <row r="16" spans="1:13">
      <c r="B16" s="11" t="s">
        <v>33</v>
      </c>
      <c r="C16" s="11"/>
      <c r="D16" s="11"/>
      <c r="E16" s="11"/>
      <c r="F16" s="11"/>
      <c r="G16" s="12">
        <v>0</v>
      </c>
      <c r="H16" s="11" t="s">
        <v>30</v>
      </c>
      <c r="I16" s="11" t="s">
        <v>146</v>
      </c>
      <c r="J16" s="11"/>
      <c r="K16" s="11"/>
      <c r="L16" s="11"/>
      <c r="M16" s="11"/>
    </row>
    <row r="17" spans="2:13">
      <c r="B17" s="11" t="s">
        <v>33</v>
      </c>
      <c r="C17" s="11"/>
      <c r="D17" s="11"/>
      <c r="E17" s="11"/>
      <c r="F17" s="11"/>
      <c r="G17" s="12">
        <v>0</v>
      </c>
      <c r="H17" s="11" t="s">
        <v>30</v>
      </c>
      <c r="I17" s="11" t="s">
        <v>146</v>
      </c>
      <c r="J17" s="11"/>
      <c r="K17" s="11"/>
      <c r="L17" s="11"/>
      <c r="M17" s="11"/>
    </row>
    <row r="18" spans="2:13">
      <c r="B18" s="11" t="s">
        <v>33</v>
      </c>
      <c r="C18" s="11"/>
      <c r="D18" s="11"/>
      <c r="E18" s="11"/>
      <c r="F18" s="11"/>
      <c r="G18" s="12">
        <v>0</v>
      </c>
      <c r="H18" s="11" t="s">
        <v>30</v>
      </c>
      <c r="I18" s="11" t="s">
        <v>146</v>
      </c>
      <c r="J18" s="11"/>
      <c r="K18" s="11"/>
      <c r="L18" s="11"/>
      <c r="M18" s="11"/>
    </row>
    <row r="19" spans="2:13">
      <c r="B19" s="11" t="s">
        <v>33</v>
      </c>
      <c r="C19" s="11"/>
      <c r="D19" s="11"/>
      <c r="E19" s="11"/>
      <c r="F19" s="11"/>
      <c r="G19" s="12">
        <v>0</v>
      </c>
      <c r="H19" s="11" t="s">
        <v>30</v>
      </c>
      <c r="I19" s="11" t="s">
        <v>146</v>
      </c>
      <c r="J19" s="11"/>
      <c r="K19" s="11"/>
      <c r="L19" s="11"/>
      <c r="M19" s="11"/>
    </row>
    <row r="20" spans="2:13">
      <c r="G20" s="1"/>
    </row>
    <row r="21" spans="2:13">
      <c r="B21" s="11" t="s">
        <v>31</v>
      </c>
      <c r="C21" s="11"/>
      <c r="D21" s="11"/>
      <c r="E21" s="11"/>
      <c r="F21" s="11"/>
      <c r="G21" s="12">
        <v>12000</v>
      </c>
      <c r="H21" s="11" t="s">
        <v>32</v>
      </c>
    </row>
    <row r="22" spans="2:13">
      <c r="B22" s="11"/>
      <c r="C22" s="11"/>
      <c r="D22" s="11"/>
      <c r="E22" s="11"/>
      <c r="F22" s="11"/>
      <c r="G22" s="12">
        <v>9000</v>
      </c>
      <c r="H22" s="11" t="s">
        <v>110</v>
      </c>
    </row>
    <row r="23" spans="2:13">
      <c r="B23" s="11"/>
      <c r="C23" s="11"/>
      <c r="D23" s="11"/>
      <c r="E23" s="11"/>
      <c r="F23" s="11"/>
      <c r="G23" s="12">
        <v>0</v>
      </c>
      <c r="H23" s="11" t="s">
        <v>66</v>
      </c>
    </row>
    <row r="24" spans="2:13">
      <c r="B24" s="11"/>
      <c r="C24" s="11"/>
      <c r="D24" s="11"/>
      <c r="E24" s="11"/>
      <c r="F24" s="11"/>
      <c r="G24" s="12">
        <v>0</v>
      </c>
      <c r="H24" s="11" t="s">
        <v>138</v>
      </c>
      <c r="I24" s="11"/>
      <c r="J24" s="11"/>
      <c r="K24" s="11"/>
      <c r="L24" s="11"/>
      <c r="M24" s="11"/>
    </row>
    <row r="25" spans="2:13">
      <c r="B25" s="11"/>
      <c r="C25" s="11"/>
      <c r="D25" s="11"/>
      <c r="E25" s="11"/>
      <c r="F25" s="11"/>
      <c r="G25" s="12">
        <v>0</v>
      </c>
      <c r="H25" s="11" t="s">
        <v>34</v>
      </c>
      <c r="I25" s="11" t="s">
        <v>108</v>
      </c>
      <c r="J25" s="11"/>
      <c r="K25" s="11"/>
      <c r="L25" s="11"/>
      <c r="M25" s="11"/>
    </row>
    <row r="26" spans="2:13">
      <c r="B26" s="11"/>
      <c r="C26" s="11"/>
      <c r="D26" s="11"/>
      <c r="E26" s="11"/>
      <c r="F26" s="11"/>
      <c r="G26" s="12">
        <v>0</v>
      </c>
      <c r="H26" s="11" t="s">
        <v>34</v>
      </c>
      <c r="I26" s="11" t="s">
        <v>108</v>
      </c>
      <c r="J26" s="11"/>
      <c r="K26" s="11"/>
      <c r="L26" s="11"/>
      <c r="M26" s="11"/>
    </row>
    <row r="27" spans="2:13">
      <c r="B27" s="11"/>
      <c r="C27" s="11"/>
      <c r="D27" s="11"/>
      <c r="E27" s="11"/>
      <c r="F27" s="11"/>
      <c r="G27" s="12">
        <v>0</v>
      </c>
      <c r="H27" s="11" t="s">
        <v>34</v>
      </c>
      <c r="I27" s="11" t="s">
        <v>108</v>
      </c>
      <c r="J27" s="11"/>
      <c r="K27" s="11"/>
      <c r="L27" s="11"/>
      <c r="M27" s="11"/>
    </row>
    <row r="28" spans="2:13">
      <c r="B28" s="11"/>
      <c r="C28" s="11"/>
      <c r="D28" s="11"/>
      <c r="E28" s="11"/>
      <c r="F28" s="11"/>
      <c r="G28" s="12">
        <v>0</v>
      </c>
      <c r="H28" s="11" t="s">
        <v>34</v>
      </c>
      <c r="I28" s="11" t="s">
        <v>108</v>
      </c>
      <c r="J28" s="11"/>
      <c r="K28" s="11"/>
      <c r="L28" s="11"/>
      <c r="M28" s="11"/>
    </row>
    <row r="29" spans="2:13">
      <c r="G29" s="1"/>
    </row>
    <row r="30" spans="2:13">
      <c r="B30" t="s">
        <v>35</v>
      </c>
      <c r="G30" s="5">
        <v>181</v>
      </c>
      <c r="H30" t="s">
        <v>36</v>
      </c>
    </row>
    <row r="31" spans="2:13">
      <c r="G31" s="5">
        <v>268</v>
      </c>
      <c r="H31" t="s">
        <v>111</v>
      </c>
    </row>
    <row r="32" spans="2:13">
      <c r="G32" s="5">
        <v>0</v>
      </c>
      <c r="H32" t="s">
        <v>37</v>
      </c>
    </row>
    <row r="33" spans="2:13">
      <c r="G33" s="5">
        <v>0</v>
      </c>
      <c r="H33" t="s">
        <v>139</v>
      </c>
    </row>
    <row r="34" spans="2:13">
      <c r="G34" s="5">
        <v>0</v>
      </c>
      <c r="H34" t="s">
        <v>38</v>
      </c>
      <c r="I34" s="11" t="s">
        <v>108</v>
      </c>
      <c r="J34" s="11"/>
      <c r="K34" s="11"/>
      <c r="L34" s="11"/>
      <c r="M34" s="11"/>
    </row>
    <row r="35" spans="2:13">
      <c r="G35" s="5">
        <v>0</v>
      </c>
      <c r="H35" t="s">
        <v>38</v>
      </c>
      <c r="I35" s="11" t="s">
        <v>108</v>
      </c>
      <c r="J35" s="11"/>
      <c r="K35" s="11"/>
      <c r="L35" s="11"/>
      <c r="M35" s="11"/>
    </row>
    <row r="36" spans="2:13">
      <c r="G36" s="5">
        <v>0</v>
      </c>
      <c r="H36" t="s">
        <v>38</v>
      </c>
      <c r="I36" s="11" t="s">
        <v>108</v>
      </c>
      <c r="J36" s="11"/>
      <c r="K36" s="11"/>
      <c r="L36" s="11"/>
      <c r="M36" s="11"/>
    </row>
    <row r="37" spans="2:13">
      <c r="G37" s="5">
        <v>0</v>
      </c>
      <c r="H37" t="s">
        <v>38</v>
      </c>
      <c r="I37" s="11" t="s">
        <v>108</v>
      </c>
      <c r="J37" s="11"/>
      <c r="K37" s="11"/>
      <c r="L37" s="11"/>
      <c r="M37" s="11"/>
    </row>
    <row r="38" spans="2:13">
      <c r="G38" s="1"/>
    </row>
    <row r="39" spans="2:13">
      <c r="B39" t="s">
        <v>40</v>
      </c>
      <c r="G39" s="20">
        <f>(G12*G21*G30)/1000+(G13*G22*G31)/1000+(G13*G23*G32)/1000+(G15*G24*G33)/1000+(G16*G25*G34)/1000+(G17*G26*G35)/1000+(G18*G27*G36)/1000+(G19*G28*G37)/1000</f>
        <v>92904</v>
      </c>
      <c r="H39" t="s">
        <v>41</v>
      </c>
      <c r="K39" s="2"/>
    </row>
    <row r="40" spans="2:13">
      <c r="G40" s="1"/>
    </row>
    <row r="41" spans="2:13">
      <c r="B41" s="11" t="s">
        <v>8</v>
      </c>
      <c r="C41" s="11"/>
      <c r="D41" s="11"/>
      <c r="E41" s="11"/>
      <c r="F41" s="11"/>
      <c r="G41" s="12">
        <v>1000</v>
      </c>
      <c r="H41" s="11" t="s">
        <v>2</v>
      </c>
    </row>
    <row r="42" spans="2:13">
      <c r="B42" s="11"/>
      <c r="C42" s="11"/>
      <c r="D42" s="11"/>
      <c r="E42" s="11"/>
      <c r="F42" s="11"/>
      <c r="G42" s="12">
        <v>10</v>
      </c>
      <c r="H42" s="11" t="s">
        <v>7</v>
      </c>
    </row>
    <row r="43" spans="2:13">
      <c r="B43" s="11"/>
      <c r="C43" s="11"/>
      <c r="D43" s="11"/>
      <c r="E43" s="11"/>
      <c r="F43" s="11"/>
      <c r="G43" s="12">
        <v>250</v>
      </c>
      <c r="H43" s="11" t="s">
        <v>3</v>
      </c>
    </row>
    <row r="44" spans="2:13">
      <c r="G44" s="6">
        <f>G41+G42+G43/2</f>
        <v>1135</v>
      </c>
      <c r="H44" t="s">
        <v>4</v>
      </c>
    </row>
    <row r="46" spans="2:13">
      <c r="B46" s="11" t="s">
        <v>10</v>
      </c>
      <c r="C46" s="11"/>
      <c r="D46" s="11"/>
      <c r="E46" s="11"/>
      <c r="F46" s="11"/>
      <c r="G46" s="12">
        <v>1200</v>
      </c>
      <c r="H46" s="11" t="s">
        <v>12</v>
      </c>
    </row>
    <row r="47" spans="2:13">
      <c r="B47" s="11"/>
      <c r="C47" s="11"/>
      <c r="D47" s="11"/>
      <c r="E47" s="11"/>
      <c r="F47" s="11"/>
      <c r="G47" s="12">
        <v>4</v>
      </c>
      <c r="H47" s="11" t="s">
        <v>104</v>
      </c>
    </row>
    <row r="48" spans="2:13">
      <c r="B48" s="11"/>
      <c r="C48" s="11"/>
      <c r="D48" s="11"/>
      <c r="E48" s="11"/>
      <c r="F48" s="11"/>
      <c r="G48" s="12">
        <v>3.5</v>
      </c>
      <c r="H48" s="11" t="s">
        <v>105</v>
      </c>
    </row>
    <row r="50" spans="2:8">
      <c r="B50" s="11" t="s">
        <v>144</v>
      </c>
      <c r="C50" s="11"/>
      <c r="D50" s="11"/>
      <c r="E50" s="11"/>
      <c r="F50" s="11"/>
      <c r="G50" s="13">
        <v>75</v>
      </c>
      <c r="H50" s="11" t="s">
        <v>107</v>
      </c>
    </row>
    <row r="51" spans="2:8">
      <c r="B51" s="11" t="s">
        <v>15</v>
      </c>
      <c r="C51" s="11"/>
      <c r="D51" s="11"/>
      <c r="E51" s="11"/>
      <c r="F51" s="11"/>
      <c r="G51" s="13">
        <v>100</v>
      </c>
      <c r="H51" s="11" t="s">
        <v>13</v>
      </c>
    </row>
    <row r="52" spans="2:8">
      <c r="B52" s="11" t="s">
        <v>16</v>
      </c>
      <c r="C52" s="11"/>
      <c r="D52" s="11"/>
      <c r="E52" s="11"/>
      <c r="F52" s="11"/>
      <c r="G52" s="13">
        <v>250</v>
      </c>
      <c r="H52" s="11" t="s">
        <v>13</v>
      </c>
    </row>
    <row r="53" spans="2:8">
      <c r="B53" s="11" t="s">
        <v>17</v>
      </c>
      <c r="C53" s="11"/>
      <c r="D53" s="11"/>
      <c r="E53" s="11"/>
      <c r="F53" s="11"/>
      <c r="G53" s="13">
        <v>400</v>
      </c>
      <c r="H53" s="11" t="s">
        <v>13</v>
      </c>
    </row>
    <row r="54" spans="2:8">
      <c r="B54" s="11" t="s">
        <v>18</v>
      </c>
      <c r="C54" s="11"/>
      <c r="D54" s="11"/>
      <c r="E54" s="11"/>
      <c r="F54" s="11"/>
      <c r="G54" s="13">
        <v>250</v>
      </c>
      <c r="H54" s="11" t="s">
        <v>13</v>
      </c>
    </row>
    <row r="56" spans="2:8">
      <c r="B56" t="s">
        <v>95</v>
      </c>
      <c r="G56" s="1">
        <v>10</v>
      </c>
      <c r="H56" t="s">
        <v>5</v>
      </c>
    </row>
    <row r="57" spans="2:8">
      <c r="B57" t="s">
        <v>96</v>
      </c>
      <c r="G57" s="1">
        <v>45</v>
      </c>
      <c r="H57" t="s">
        <v>5</v>
      </c>
    </row>
    <row r="58" spans="2:8">
      <c r="B58" t="s">
        <v>79</v>
      </c>
      <c r="G58" s="1">
        <v>0.1</v>
      </c>
      <c r="H58" t="s">
        <v>82</v>
      </c>
    </row>
    <row r="59" spans="2:8">
      <c r="B59" t="s">
        <v>80</v>
      </c>
      <c r="G59" s="1">
        <v>0.75</v>
      </c>
      <c r="H59" t="s">
        <v>83</v>
      </c>
    </row>
    <row r="60" spans="2:8">
      <c r="B60" t="s">
        <v>97</v>
      </c>
      <c r="G60" s="5">
        <v>35</v>
      </c>
      <c r="H60" t="s">
        <v>81</v>
      </c>
    </row>
    <row r="62" spans="2:8">
      <c r="B62" t="s">
        <v>156</v>
      </c>
      <c r="G62" s="6">
        <f>G41*G46*(G47+G48)/7.5</f>
        <v>1200000</v>
      </c>
      <c r="H62" t="s">
        <v>11</v>
      </c>
    </row>
    <row r="63" spans="2:8">
      <c r="G63" s="6"/>
    </row>
    <row r="64" spans="2:8">
      <c r="B64" t="s">
        <v>93</v>
      </c>
      <c r="G64" s="2">
        <f>365*G44*G56/1000000*G8</f>
        <v>1739.9550000000002</v>
      </c>
      <c r="H64" t="s">
        <v>91</v>
      </c>
    </row>
    <row r="65" spans="2:12">
      <c r="G65" s="2">
        <f>365*G44*G57/1000000*G9</f>
        <v>7438.3076250000004</v>
      </c>
      <c r="H65" t="s">
        <v>85</v>
      </c>
    </row>
    <row r="66" spans="2:12">
      <c r="G66" s="2">
        <f>G64+G65</f>
        <v>9178.2626250000012</v>
      </c>
      <c r="H66" t="s">
        <v>89</v>
      </c>
    </row>
    <row r="67" spans="2:12">
      <c r="G67" s="7"/>
    </row>
    <row r="68" spans="2:12">
      <c r="B68" t="s">
        <v>86</v>
      </c>
      <c r="G68" s="2">
        <f>G58*365*G60</f>
        <v>1277.5</v>
      </c>
      <c r="H68" t="s">
        <v>84</v>
      </c>
    </row>
    <row r="69" spans="2:12">
      <c r="G69" s="2">
        <f>G59*52*G60</f>
        <v>1365</v>
      </c>
      <c r="H69" t="s">
        <v>87</v>
      </c>
    </row>
    <row r="70" spans="2:12">
      <c r="G70" s="2">
        <f>SUM(G68:G69)</f>
        <v>2642.5</v>
      </c>
      <c r="H70" t="s">
        <v>88</v>
      </c>
    </row>
    <row r="71" spans="2:12">
      <c r="G71" s="7"/>
    </row>
    <row r="72" spans="2:12">
      <c r="B72" t="s">
        <v>90</v>
      </c>
      <c r="G72" s="2">
        <f>G64+G68</f>
        <v>3017.4549999999999</v>
      </c>
      <c r="H72" t="s">
        <v>91</v>
      </c>
    </row>
    <row r="73" spans="2:12">
      <c r="G73" s="2">
        <f>(G72/G62)*100</f>
        <v>0.25145458333333331</v>
      </c>
      <c r="H73" t="s">
        <v>98</v>
      </c>
    </row>
    <row r="74" spans="2:12">
      <c r="G74" s="2">
        <f>G65+G69</f>
        <v>8803.3076250000013</v>
      </c>
      <c r="H74" t="s">
        <v>85</v>
      </c>
    </row>
    <row r="75" spans="2:12">
      <c r="G75" s="2">
        <f>(G74/G62)*100</f>
        <v>0.73360896875000015</v>
      </c>
      <c r="H75" t="s">
        <v>99</v>
      </c>
    </row>
    <row r="76" spans="2:12">
      <c r="G76" s="2">
        <f>G72+G74</f>
        <v>11820.762625000001</v>
      </c>
      <c r="H76" t="s">
        <v>92</v>
      </c>
      <c r="K76" s="8">
        <f>100*G76/(G41*G46*G50/100)</f>
        <v>1.3134180694444446</v>
      </c>
      <c r="L76" t="s">
        <v>109</v>
      </c>
    </row>
    <row r="77" spans="2:12">
      <c r="G77" s="2">
        <f>(G76/G62)*100</f>
        <v>0.98506355208333352</v>
      </c>
      <c r="H77" t="s">
        <v>100</v>
      </c>
    </row>
    <row r="78" spans="2:12">
      <c r="G78" s="7"/>
    </row>
    <row r="79" spans="2:12">
      <c r="B79" t="s">
        <v>25</v>
      </c>
      <c r="G79" s="7"/>
    </row>
    <row r="80" spans="2:12">
      <c r="G80" s="6"/>
    </row>
    <row r="81" spans="2:11">
      <c r="B81" t="s">
        <v>24</v>
      </c>
      <c r="G81" s="7">
        <f>G76/G50*100</f>
        <v>15761.016833333335</v>
      </c>
      <c r="H81" t="s">
        <v>19</v>
      </c>
    </row>
    <row r="82" spans="2:11">
      <c r="G82" s="7">
        <f>G81/G41</f>
        <v>15.761016833333334</v>
      </c>
      <c r="H82" t="s">
        <v>145</v>
      </c>
    </row>
    <row r="83" spans="2:11">
      <c r="J83" s="7">
        <f>G82/G46*100</f>
        <v>1.3134180694444446</v>
      </c>
      <c r="K83" t="s">
        <v>73</v>
      </c>
    </row>
    <row r="84" spans="2:11">
      <c r="B84" t="s">
        <v>21</v>
      </c>
      <c r="G84" s="7">
        <f>G66/G51</f>
        <v>91.782626250000007</v>
      </c>
      <c r="H84" t="s">
        <v>27</v>
      </c>
      <c r="I84" t="s">
        <v>26</v>
      </c>
      <c r="J84" s="7">
        <f>G84/(G43+G84)*100</f>
        <v>26.854093567314557</v>
      </c>
      <c r="K84" t="s">
        <v>67</v>
      </c>
    </row>
    <row r="85" spans="2:11">
      <c r="B85" t="s">
        <v>20</v>
      </c>
      <c r="G85" s="7">
        <f>G66/G52</f>
        <v>36.713050500000001</v>
      </c>
      <c r="H85" t="s">
        <v>27</v>
      </c>
      <c r="I85" t="s">
        <v>26</v>
      </c>
      <c r="J85" s="7">
        <f>G85/(G43+G85)*100</f>
        <v>12.804806211637723</v>
      </c>
      <c r="K85" t="s">
        <v>67</v>
      </c>
    </row>
    <row r="86" spans="2:11">
      <c r="B86" t="s">
        <v>22</v>
      </c>
      <c r="G86" s="7">
        <f>G66/G53</f>
        <v>22.945656562500002</v>
      </c>
      <c r="H86" t="s">
        <v>27</v>
      </c>
      <c r="I86" t="s">
        <v>26</v>
      </c>
      <c r="J86" s="7">
        <f>G86/(G43+G86)*100</f>
        <v>8.4066758385092051</v>
      </c>
      <c r="K86" t="s">
        <v>67</v>
      </c>
    </row>
    <row r="87" spans="2:11">
      <c r="B87" t="s">
        <v>23</v>
      </c>
      <c r="G87" s="7">
        <f>G66/G54</f>
        <v>36.713050500000001</v>
      </c>
      <c r="H87" t="s">
        <v>27</v>
      </c>
      <c r="I87" t="s">
        <v>26</v>
      </c>
      <c r="J87" s="7">
        <f>G87/(G41)*100</f>
        <v>3.6713050500000004</v>
      </c>
      <c r="K87" t="s">
        <v>67</v>
      </c>
    </row>
    <row r="88" spans="2:11">
      <c r="B88" t="s">
        <v>39</v>
      </c>
      <c r="J88" s="7">
        <f>G76/G39*100</f>
        <v>12.72363151748041</v>
      </c>
      <c r="K88" s="8" t="s">
        <v>72</v>
      </c>
    </row>
    <row r="89" spans="2:11">
      <c r="B89" t="s">
        <v>74</v>
      </c>
    </row>
    <row r="90" spans="2:11">
      <c r="B90" t="s">
        <v>78</v>
      </c>
    </row>
    <row r="92" spans="2:11">
      <c r="B92" t="s">
        <v>75</v>
      </c>
    </row>
    <row r="93" spans="2:11">
      <c r="B93" t="s">
        <v>50</v>
      </c>
      <c r="C93" s="1">
        <v>5</v>
      </c>
      <c r="D93" t="s">
        <v>57</v>
      </c>
    </row>
    <row r="94" spans="2:11">
      <c r="C94" s="1">
        <v>1</v>
      </c>
      <c r="D94" t="s">
        <v>42</v>
      </c>
    </row>
    <row r="95" spans="2:11">
      <c r="C95" s="1">
        <v>1</v>
      </c>
      <c r="D95" t="s">
        <v>59</v>
      </c>
    </row>
    <row r="96" spans="2:11">
      <c r="C96" s="1">
        <v>1</v>
      </c>
      <c r="D96" t="s">
        <v>43</v>
      </c>
    </row>
    <row r="97" spans="2:12">
      <c r="C97" s="1">
        <v>1</v>
      </c>
      <c r="D97" t="s">
        <v>44</v>
      </c>
    </row>
    <row r="98" spans="2:12">
      <c r="C98" s="1">
        <v>1</v>
      </c>
      <c r="D98" t="s">
        <v>45</v>
      </c>
      <c r="F98" t="s">
        <v>46</v>
      </c>
      <c r="G98">
        <f>(100+C98)*G47/100</f>
        <v>4.04</v>
      </c>
      <c r="H98" t="s">
        <v>48</v>
      </c>
      <c r="K98">
        <f>G47</f>
        <v>4</v>
      </c>
      <c r="L98" t="s">
        <v>47</v>
      </c>
    </row>
    <row r="99" spans="2:12">
      <c r="C99" s="1">
        <v>1</v>
      </c>
      <c r="D99" t="s">
        <v>49</v>
      </c>
    </row>
    <row r="100" spans="2:12">
      <c r="D100" t="s">
        <v>76</v>
      </c>
    </row>
    <row r="102" spans="2:12">
      <c r="B102" t="s">
        <v>51</v>
      </c>
      <c r="C102" s="3">
        <f>G51*G43*C93/100</f>
        <v>1250</v>
      </c>
      <c r="D102" t="s">
        <v>56</v>
      </c>
    </row>
    <row r="103" spans="2:12">
      <c r="C103" s="3">
        <f>G52*G43*C94/100</f>
        <v>625</v>
      </c>
      <c r="D103" t="s">
        <v>52</v>
      </c>
    </row>
    <row r="104" spans="2:12">
      <c r="C104" s="3">
        <f>G53*G43*C95/100</f>
        <v>1000</v>
      </c>
      <c r="D104" t="s">
        <v>53</v>
      </c>
    </row>
    <row r="105" spans="2:12">
      <c r="C105" s="3">
        <f>G54*G41*C96/100</f>
        <v>2500</v>
      </c>
      <c r="D105" t="s">
        <v>58</v>
      </c>
    </row>
    <row r="106" spans="2:12">
      <c r="C106" s="3">
        <f>C97/100*G62*G50/100</f>
        <v>9000</v>
      </c>
      <c r="D106" t="s">
        <v>54</v>
      </c>
    </row>
    <row r="107" spans="2:12">
      <c r="B107" s="1"/>
      <c r="C107" s="3">
        <f>C98/100*G47/100*G46*G41/0.07</f>
        <v>6857.1428571428569</v>
      </c>
      <c r="D107" t="s">
        <v>62</v>
      </c>
    </row>
    <row r="108" spans="2:12">
      <c r="C108" s="3">
        <f>C99/100*K39</f>
        <v>0</v>
      </c>
      <c r="D108" t="s">
        <v>55</v>
      </c>
    </row>
    <row r="109" spans="2:12">
      <c r="C109" s="9"/>
    </row>
    <row r="110" spans="2:12">
      <c r="C110" s="3">
        <f>SUM(C102:C108)</f>
        <v>21232.142857142855</v>
      </c>
      <c r="D110" t="s">
        <v>101</v>
      </c>
    </row>
    <row r="111" spans="2:12">
      <c r="C111" s="3">
        <f>(C110/G62)*100</f>
        <v>1.7693452380952379</v>
      </c>
      <c r="D111" t="s">
        <v>102</v>
      </c>
    </row>
    <row r="112" spans="2:12">
      <c r="C112" s="3">
        <f>G76</f>
        <v>11820.762625000001</v>
      </c>
      <c r="D112" t="s">
        <v>94</v>
      </c>
    </row>
    <row r="113" spans="1:5">
      <c r="C113" s="10"/>
    </row>
    <row r="114" spans="1:5">
      <c r="C114" s="3">
        <f>C110-C112</f>
        <v>9411.3802321428539</v>
      </c>
      <c r="D114" t="s">
        <v>71</v>
      </c>
    </row>
    <row r="115" spans="1:5">
      <c r="E115" t="s">
        <v>60</v>
      </c>
    </row>
    <row r="116" spans="1:5">
      <c r="C116" s="3">
        <f>(C114/G62)*100</f>
        <v>0.7842816860119044</v>
      </c>
      <c r="D116" t="s">
        <v>103</v>
      </c>
    </row>
    <row r="117" spans="1:5">
      <c r="C117" s="3"/>
    </row>
    <row r="118" spans="1:5">
      <c r="A118" s="1" t="s">
        <v>68</v>
      </c>
    </row>
    <row r="119" spans="1:5">
      <c r="A119" t="s">
        <v>69</v>
      </c>
    </row>
  </sheetData>
  <pageMargins left="0.7" right="0.7" top="0.75" bottom="0.75" header="0.3" footer="0.3"/>
  <pageSetup paperSize="9" scale="65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INFO_Lees mij eerst</vt:lpstr>
      <vt:lpstr>bereken bio</vt:lpstr>
      <vt:lpstr>bereken gangbaar</vt:lpstr>
      <vt:lpstr>vb bio 600</vt:lpstr>
      <vt:lpstr>vb gangbaar 1000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Govaerts</dc:creator>
  <cp:lastModifiedBy>Elke Aeyels</cp:lastModifiedBy>
  <cp:lastPrinted>2025-07-22T07:22:52Z</cp:lastPrinted>
  <dcterms:created xsi:type="dcterms:W3CDTF">2025-07-18T09:12:48Z</dcterms:created>
  <dcterms:modified xsi:type="dcterms:W3CDTF">2026-08-25T07:34:32Z</dcterms:modified>
</cp:coreProperties>
</file>